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re\OneDrive\Skrivebord\Pujoralaat\April 2022 Nassiussassat\"/>
    </mc:Choice>
  </mc:AlternateContent>
  <xr:revisionPtr revIDLastSave="0" documentId="13_ncr:1_{7BDEB719-F1D2-43BD-8E0B-BB9C6C033CE2}" xr6:coauthVersionLast="47" xr6:coauthVersionMax="47" xr10:uidLastSave="{00000000-0000-0000-0000-000000000000}"/>
  <bookViews>
    <workbookView xWindow="-108" yWindow="-108" windowWidth="23256" windowHeight="12456" activeTab="1" xr2:uid="{C5400928-F6A5-4E8C-B332-C5F16D6A1DD6}"/>
  </bookViews>
  <sheets>
    <sheet name="Drilling &amp; Blasting" sheetId="1" r:id="rId1"/>
    <sheet name="Bullozing in pit" sheetId="2" r:id="rId2"/>
    <sheet name="Loading in pit" sheetId="3" r:id="rId3"/>
    <sheet name="Operations in waste" sheetId="4" r:id="rId4"/>
    <sheet name="Unloading in crusher" sheetId="5" r:id="rId5"/>
    <sheet name="Haul Road factors calculator" sheetId="6" r:id="rId6"/>
    <sheet name="Haul Roads in mining area" sheetId="7" r:id="rId7"/>
    <sheet name="Haul Road harbor-mining area" sheetId="8" r:id="rId8"/>
    <sheet name="Maintenance of haul roads" sheetId="11" r:id="rId9"/>
    <sheet name="Total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2" l="1"/>
  <c r="O5" i="2"/>
  <c r="N16" i="12"/>
  <c r="L16" i="12"/>
  <c r="J16" i="12"/>
  <c r="G16" i="12"/>
  <c r="E16" i="12"/>
  <c r="C16" i="12"/>
  <c r="AC18" i="7"/>
  <c r="AA18" i="7"/>
  <c r="Y18" i="7"/>
  <c r="AC14" i="12"/>
  <c r="AA14" i="12"/>
  <c r="Y14" i="12"/>
  <c r="V14" i="12"/>
  <c r="T14" i="12"/>
  <c r="R14" i="12"/>
  <c r="N14" i="12"/>
  <c r="L14" i="12"/>
  <c r="J14" i="12"/>
  <c r="G14" i="12"/>
  <c r="E14" i="12"/>
  <c r="C14" i="12"/>
  <c r="M9" i="5"/>
  <c r="M12" i="5"/>
  <c r="M10" i="3"/>
  <c r="Q20" i="1"/>
  <c r="AC16" i="7"/>
  <c r="AA16" i="7"/>
  <c r="Y16" i="7"/>
  <c r="AC15" i="7"/>
  <c r="AA15" i="7"/>
  <c r="Y15" i="7"/>
  <c r="AC14" i="7"/>
  <c r="AA14" i="7"/>
  <c r="Y14" i="7"/>
  <c r="AC13" i="7"/>
  <c r="AA13" i="7"/>
  <c r="Y13" i="7"/>
  <c r="N15" i="5"/>
  <c r="L8" i="6"/>
  <c r="I8" i="6"/>
  <c r="F8" i="6"/>
  <c r="N4" i="6"/>
  <c r="N8" i="6" s="1"/>
  <c r="O8" i="6" s="1"/>
  <c r="H62" i="11"/>
  <c r="H64" i="11" s="1"/>
  <c r="F62" i="11"/>
  <c r="F64" i="11" s="1"/>
  <c r="J60" i="11"/>
  <c r="J62" i="11" s="1"/>
  <c r="J64" i="11" s="1"/>
  <c r="A67" i="11"/>
  <c r="J69" i="11" s="1"/>
  <c r="J71" i="11" s="1"/>
  <c r="J56" i="11"/>
  <c r="H56" i="11"/>
  <c r="F56" i="11"/>
  <c r="J44" i="11"/>
  <c r="H44" i="11"/>
  <c r="F44" i="11"/>
  <c r="J39" i="11"/>
  <c r="H39" i="11"/>
  <c r="F39" i="11"/>
  <c r="A6" i="11"/>
  <c r="A27" i="11"/>
  <c r="J9" i="11"/>
  <c r="H9" i="11"/>
  <c r="F9" i="11"/>
  <c r="B13" i="11"/>
  <c r="Q8" i="7"/>
  <c r="S8" i="7"/>
  <c r="U8" i="7"/>
  <c r="AK14" i="8"/>
  <c r="AK13" i="8"/>
  <c r="AI14" i="8"/>
  <c r="AI13" i="8"/>
  <c r="AG14" i="8"/>
  <c r="AG13" i="8"/>
  <c r="AK12" i="8"/>
  <c r="AI12" i="8"/>
  <c r="AG12" i="8"/>
  <c r="AK11" i="8"/>
  <c r="AK6" i="8"/>
  <c r="AI11" i="8"/>
  <c r="AI6" i="8"/>
  <c r="AG11" i="8"/>
  <c r="AC75" i="8"/>
  <c r="AA75" i="8"/>
  <c r="Y75" i="8"/>
  <c r="AC73" i="8"/>
  <c r="AA73" i="8"/>
  <c r="Y73" i="8"/>
  <c r="AC68" i="8"/>
  <c r="AA68" i="8"/>
  <c r="Y68" i="8"/>
  <c r="AC61" i="8"/>
  <c r="AC60" i="8"/>
  <c r="AA61" i="8"/>
  <c r="AA60" i="8"/>
  <c r="Y61" i="8"/>
  <c r="Y60" i="8"/>
  <c r="AC59" i="8"/>
  <c r="AC58" i="8"/>
  <c r="AA59" i="8"/>
  <c r="Y59" i="8"/>
  <c r="AA58" i="8"/>
  <c r="Y58" i="8"/>
  <c r="AC52" i="8"/>
  <c r="AA52" i="8"/>
  <c r="Y52" i="8"/>
  <c r="R50" i="8"/>
  <c r="AC46" i="8"/>
  <c r="AA46" i="8"/>
  <c r="Y46" i="8"/>
  <c r="V44" i="8"/>
  <c r="G24" i="8"/>
  <c r="B13" i="8"/>
  <c r="U44" i="8"/>
  <c r="T44" i="8"/>
  <c r="AC40" i="8"/>
  <c r="AA40" i="8"/>
  <c r="Y40" i="8"/>
  <c r="Q38" i="8"/>
  <c r="AC33" i="8"/>
  <c r="AA33" i="8"/>
  <c r="Y33" i="8"/>
  <c r="Q36" i="8"/>
  <c r="Q34" i="8"/>
  <c r="AC25" i="8"/>
  <c r="AA25" i="8"/>
  <c r="Y25" i="8"/>
  <c r="Q28" i="8"/>
  <c r="Q26" i="8"/>
  <c r="R25" i="8"/>
  <c r="AC7" i="8"/>
  <c r="AA7" i="8"/>
  <c r="Y7" i="8"/>
  <c r="U16" i="8"/>
  <c r="T14" i="8"/>
  <c r="T13" i="8"/>
  <c r="T12" i="8"/>
  <c r="T11" i="8"/>
  <c r="T10" i="8"/>
  <c r="T9" i="8"/>
  <c r="N45" i="8"/>
  <c r="L45" i="8"/>
  <c r="J45" i="8"/>
  <c r="N39" i="8"/>
  <c r="N38" i="8"/>
  <c r="L39" i="8"/>
  <c r="L38" i="8"/>
  <c r="J39" i="8"/>
  <c r="J38" i="8"/>
  <c r="N37" i="8"/>
  <c r="L37" i="8"/>
  <c r="J37" i="8"/>
  <c r="N36" i="8"/>
  <c r="L36" i="8"/>
  <c r="J36" i="8"/>
  <c r="N30" i="8"/>
  <c r="L30" i="8"/>
  <c r="J30" i="8"/>
  <c r="N26" i="8"/>
  <c r="L26" i="8"/>
  <c r="J26" i="8"/>
  <c r="F24" i="8"/>
  <c r="E24" i="8"/>
  <c r="G17" i="8"/>
  <c r="J17" i="8"/>
  <c r="N21" i="8"/>
  <c r="L21" i="8"/>
  <c r="J21" i="8"/>
  <c r="G21" i="8"/>
  <c r="N17" i="8"/>
  <c r="L17" i="8"/>
  <c r="N6" i="8"/>
  <c r="L6" i="8"/>
  <c r="E11" i="8"/>
  <c r="J6" i="8"/>
  <c r="G11" i="8"/>
  <c r="G13" i="8"/>
  <c r="B9" i="8"/>
  <c r="AC4" i="7"/>
  <c r="AA4" i="7"/>
  <c r="P54" i="7"/>
  <c r="U48" i="7"/>
  <c r="S48" i="7"/>
  <c r="Q48" i="7"/>
  <c r="U40" i="7"/>
  <c r="S40" i="7"/>
  <c r="Q40" i="7"/>
  <c r="U32" i="7"/>
  <c r="S32" i="7"/>
  <c r="Q32" i="7"/>
  <c r="U24" i="7"/>
  <c r="S24" i="7"/>
  <c r="Q24" i="7"/>
  <c r="U16" i="7"/>
  <c r="S16" i="7"/>
  <c r="Q16" i="7"/>
  <c r="M74" i="7"/>
  <c r="K74" i="7"/>
  <c r="I74" i="7"/>
  <c r="M79" i="7"/>
  <c r="K79" i="7"/>
  <c r="I79" i="7"/>
  <c r="H79" i="7"/>
  <c r="G76" i="7"/>
  <c r="M82" i="7"/>
  <c r="M83" i="7" s="1"/>
  <c r="M60" i="7"/>
  <c r="M61" i="7" s="1"/>
  <c r="M57" i="7"/>
  <c r="K57" i="7"/>
  <c r="I57" i="7"/>
  <c r="H57" i="7"/>
  <c r="M52" i="7"/>
  <c r="M65" i="7" s="1"/>
  <c r="K52" i="7"/>
  <c r="K60" i="7" s="1"/>
  <c r="K61" i="7" s="1"/>
  <c r="I52" i="7"/>
  <c r="I60" i="7" s="1"/>
  <c r="I61" i="7" s="1"/>
  <c r="H35" i="7"/>
  <c r="H13" i="7"/>
  <c r="G10" i="7"/>
  <c r="I4" i="7"/>
  <c r="J4" i="7" s="1"/>
  <c r="D8" i="7"/>
  <c r="D4" i="7"/>
  <c r="B15" i="7"/>
  <c r="P10" i="6"/>
  <c r="D10" i="6"/>
  <c r="D8" i="6"/>
  <c r="I4" i="6"/>
  <c r="F4" i="6"/>
  <c r="L4" i="6" s="1"/>
  <c r="S18" i="5"/>
  <c r="Q18" i="5"/>
  <c r="O18" i="5"/>
  <c r="T24" i="4"/>
  <c r="T42" i="4" s="1"/>
  <c r="V42" i="4"/>
  <c r="R42" i="4"/>
  <c r="V40" i="4"/>
  <c r="T40" i="4"/>
  <c r="R40" i="4"/>
  <c r="V24" i="4"/>
  <c r="R24" i="4"/>
  <c r="V13" i="4"/>
  <c r="T13" i="4"/>
  <c r="R13" i="4"/>
  <c r="S16" i="3"/>
  <c r="Q16" i="3"/>
  <c r="O16" i="3"/>
  <c r="AC11" i="2"/>
  <c r="AA11" i="2"/>
  <c r="Y11" i="2"/>
  <c r="Y25" i="1"/>
  <c r="W25" i="1"/>
  <c r="U25" i="1"/>
  <c r="I10" i="5"/>
  <c r="I11" i="5" s="1"/>
  <c r="I13" i="5" s="1"/>
  <c r="G10" i="5"/>
  <c r="G11" i="5" s="1"/>
  <c r="G13" i="5" s="1"/>
  <c r="E10" i="5"/>
  <c r="E11" i="5" s="1"/>
  <c r="L42" i="4"/>
  <c r="J42" i="4"/>
  <c r="H42" i="4"/>
  <c r="L40" i="4"/>
  <c r="J40" i="4"/>
  <c r="H40" i="4"/>
  <c r="L29" i="4"/>
  <c r="L31" i="4" s="1"/>
  <c r="L28" i="4"/>
  <c r="J28" i="4"/>
  <c r="J29" i="4" s="1"/>
  <c r="H28" i="4"/>
  <c r="H29" i="4" s="1"/>
  <c r="I17" i="1"/>
  <c r="L18" i="4"/>
  <c r="L20" i="4" s="1"/>
  <c r="L17" i="4"/>
  <c r="J17" i="4"/>
  <c r="J18" i="4" s="1"/>
  <c r="H17" i="4"/>
  <c r="H18" i="4" s="1"/>
  <c r="L6" i="4"/>
  <c r="L7" i="4" s="1"/>
  <c r="L9" i="4" s="1"/>
  <c r="J6" i="4"/>
  <c r="J7" i="4" s="1"/>
  <c r="H6" i="4"/>
  <c r="H7" i="4" s="1"/>
  <c r="F46" i="11" l="1"/>
  <c r="H46" i="11"/>
  <c r="H48" i="11" s="1"/>
  <c r="E13" i="5"/>
  <c r="E12" i="5"/>
  <c r="E18" i="5" s="1"/>
  <c r="G12" i="5"/>
  <c r="G18" i="5" s="1"/>
  <c r="I12" i="5"/>
  <c r="I18" i="5" s="1"/>
  <c r="M87" i="7"/>
  <c r="I82" i="7"/>
  <c r="I87" i="7" s="1"/>
  <c r="O4" i="6"/>
  <c r="H69" i="11"/>
  <c r="H71" i="11" s="1"/>
  <c r="J46" i="11"/>
  <c r="J48" i="11" s="1"/>
  <c r="F48" i="11"/>
  <c r="H30" i="11"/>
  <c r="F69" i="11"/>
  <c r="F71" i="11" s="1"/>
  <c r="F30" i="11"/>
  <c r="J30" i="11"/>
  <c r="F25" i="11"/>
  <c r="H25" i="11"/>
  <c r="J25" i="11"/>
  <c r="U54" i="7"/>
  <c r="U59" i="7" s="1"/>
  <c r="K82" i="7"/>
  <c r="K83" i="7" s="1"/>
  <c r="K85" i="7" s="1"/>
  <c r="I8" i="7"/>
  <c r="Q54" i="7"/>
  <c r="Q59" i="7" s="1"/>
  <c r="K65" i="7"/>
  <c r="S54" i="7"/>
  <c r="S59" i="7" s="1"/>
  <c r="K87" i="7"/>
  <c r="I83" i="7"/>
  <c r="I85" i="7" s="1"/>
  <c r="I65" i="7"/>
  <c r="M84" i="7"/>
  <c r="M85" i="7"/>
  <c r="K62" i="7"/>
  <c r="K63" i="7"/>
  <c r="I63" i="7"/>
  <c r="I62" i="7"/>
  <c r="M62" i="7"/>
  <c r="M63" i="7"/>
  <c r="M8" i="7"/>
  <c r="I26" i="7"/>
  <c r="K13" i="7"/>
  <c r="J26" i="7"/>
  <c r="K30" i="7"/>
  <c r="K8" i="7"/>
  <c r="M13" i="7"/>
  <c r="I13" i="7"/>
  <c r="I16" i="7" s="1"/>
  <c r="O12" i="6"/>
  <c r="H31" i="4"/>
  <c r="H30" i="4"/>
  <c r="H36" i="4" s="1"/>
  <c r="J20" i="4"/>
  <c r="J19" i="4"/>
  <c r="J24" i="4" s="1"/>
  <c r="J30" i="4"/>
  <c r="J31" i="4"/>
  <c r="H20" i="4"/>
  <c r="H19" i="4"/>
  <c r="H24" i="4" s="1"/>
  <c r="L19" i="4"/>
  <c r="L24" i="4" s="1"/>
  <c r="L30" i="4"/>
  <c r="L36" i="4" s="1"/>
  <c r="J9" i="4"/>
  <c r="J8" i="4"/>
  <c r="H9" i="4"/>
  <c r="H8" i="4"/>
  <c r="L8" i="4"/>
  <c r="L13" i="4" s="1"/>
  <c r="U55" i="7" l="1"/>
  <c r="U57" i="7" s="1"/>
  <c r="F32" i="11"/>
  <c r="J32" i="11"/>
  <c r="H32" i="11"/>
  <c r="K84" i="7"/>
  <c r="S55" i="7"/>
  <c r="S56" i="7" s="1"/>
  <c r="Q55" i="7"/>
  <c r="Q57" i="7" s="1"/>
  <c r="I67" i="7"/>
  <c r="M16" i="7"/>
  <c r="M17" i="7" s="1"/>
  <c r="M19" i="7" s="1"/>
  <c r="M67" i="7"/>
  <c r="M89" i="7"/>
  <c r="S57" i="7"/>
  <c r="I17" i="7"/>
  <c r="I19" i="7" s="1"/>
  <c r="I21" i="7"/>
  <c r="I84" i="7"/>
  <c r="I89" i="7" s="1"/>
  <c r="K67" i="7"/>
  <c r="K89" i="7"/>
  <c r="U56" i="7"/>
  <c r="K16" i="7"/>
  <c r="K17" i="7" s="1"/>
  <c r="K19" i="7" s="1"/>
  <c r="I30" i="7"/>
  <c r="M30" i="7"/>
  <c r="I35" i="7"/>
  <c r="M35" i="7"/>
  <c r="K35" i="7"/>
  <c r="K38" i="7" s="1"/>
  <c r="K39" i="7" s="1"/>
  <c r="P6" i="6"/>
  <c r="Q6" i="6" s="1"/>
  <c r="J36" i="4"/>
  <c r="H13" i="4"/>
  <c r="J13" i="4"/>
  <c r="J34" i="11" l="1"/>
  <c r="J79" i="11" s="1"/>
  <c r="J77" i="11"/>
  <c r="H34" i="11"/>
  <c r="H79" i="11" s="1"/>
  <c r="H77" i="11"/>
  <c r="F34" i="11"/>
  <c r="F79" i="11" s="1"/>
  <c r="F77" i="11"/>
  <c r="Q56" i="7"/>
  <c r="Q61" i="7" s="1"/>
  <c r="S61" i="7"/>
  <c r="U61" i="7"/>
  <c r="I18" i="7"/>
  <c r="M18" i="7"/>
  <c r="K18" i="7"/>
  <c r="K23" i="7" s="1"/>
  <c r="M43" i="7"/>
  <c r="M93" i="7" s="1"/>
  <c r="U95" i="7" s="1"/>
  <c r="M23" i="7"/>
  <c r="I43" i="7"/>
  <c r="I93" i="7" s="1"/>
  <c r="Q95" i="7" s="1"/>
  <c r="K43" i="7"/>
  <c r="K93" i="7" s="1"/>
  <c r="S95" i="7" s="1"/>
  <c r="K41" i="7"/>
  <c r="K40" i="7"/>
  <c r="M38" i="7"/>
  <c r="M39" i="7" s="1"/>
  <c r="I38" i="7"/>
  <c r="I39" i="7" s="1"/>
  <c r="I23" i="7"/>
  <c r="M40" i="7" l="1"/>
  <c r="M41" i="7"/>
  <c r="I41" i="7"/>
  <c r="I40" i="7"/>
  <c r="I45" i="7" s="1"/>
  <c r="I95" i="7" s="1"/>
  <c r="Q97" i="7" s="1"/>
  <c r="K45" i="7"/>
  <c r="K95" i="7" s="1"/>
  <c r="S97" i="7" s="1"/>
  <c r="M45" i="7" l="1"/>
  <c r="M95" i="7" s="1"/>
  <c r="U97" i="7" s="1"/>
  <c r="I4" i="3" l="1"/>
  <c r="G8" i="3" s="1"/>
  <c r="G14" i="3" s="1"/>
  <c r="S25" i="2"/>
  <c r="S26" i="2" s="1"/>
  <c r="Q25" i="2"/>
  <c r="Q26" i="2" s="1"/>
  <c r="O25" i="2"/>
  <c r="O26" i="2" s="1"/>
  <c r="O16" i="2"/>
  <c r="J7" i="2"/>
  <c r="J5" i="2"/>
  <c r="J9" i="2" s="1"/>
  <c r="I7" i="2"/>
  <c r="I5" i="2"/>
  <c r="O3" i="2" s="1"/>
  <c r="G9" i="2"/>
  <c r="B9" i="2"/>
  <c r="S15" i="2" s="1"/>
  <c r="S16" i="2" s="1"/>
  <c r="D14" i="1"/>
  <c r="I14" i="1" s="1"/>
  <c r="J17" i="1" s="1"/>
  <c r="J23" i="1" s="1"/>
  <c r="D13" i="1"/>
  <c r="F33" i="2" l="1"/>
  <c r="G9" i="3"/>
  <c r="G11" i="3" s="1"/>
  <c r="G10" i="3"/>
  <c r="G16" i="3" s="1"/>
  <c r="O18" i="2"/>
  <c r="O17" i="2"/>
  <c r="O21" i="2" s="1"/>
  <c r="O27" i="2"/>
  <c r="O28" i="2"/>
  <c r="S17" i="2"/>
  <c r="S21" i="2" s="1"/>
  <c r="S18" i="2"/>
  <c r="Q27" i="2"/>
  <c r="Q28" i="2"/>
  <c r="S27" i="2"/>
  <c r="S28" i="2"/>
  <c r="Q15" i="2"/>
  <c r="Q16" i="2" s="1"/>
  <c r="L17" i="1"/>
  <c r="J18" i="1"/>
  <c r="N17" i="1"/>
  <c r="I8" i="3"/>
  <c r="E8" i="3"/>
  <c r="Q3" i="2"/>
  <c r="Q5" i="2" s="1"/>
  <c r="O6" i="2"/>
  <c r="S3" i="2"/>
  <c r="S5" i="2" s="1"/>
  <c r="I9" i="2"/>
  <c r="I14" i="3" l="1"/>
  <c r="I9" i="3"/>
  <c r="E9" i="3"/>
  <c r="E14" i="3"/>
  <c r="O31" i="2"/>
  <c r="Q31" i="2"/>
  <c r="S6" i="2"/>
  <c r="J33" i="2"/>
  <c r="Q17" i="2"/>
  <c r="Q21" i="2" s="1"/>
  <c r="Q18" i="2"/>
  <c r="O7" i="2"/>
  <c r="O8" i="2"/>
  <c r="Q6" i="2"/>
  <c r="H33" i="2"/>
  <c r="S31" i="2"/>
  <c r="N18" i="1"/>
  <c r="N23" i="1"/>
  <c r="L18" i="1"/>
  <c r="L20" i="1" s="1"/>
  <c r="L23" i="1"/>
  <c r="J19" i="1"/>
  <c r="J20" i="1"/>
  <c r="N20" i="1"/>
  <c r="N19" i="1"/>
  <c r="N25" i="1" s="1"/>
  <c r="I11" i="3" l="1"/>
  <c r="I10" i="3"/>
  <c r="E11" i="3"/>
  <c r="E10" i="3"/>
  <c r="E16" i="3" s="1"/>
  <c r="O11" i="2"/>
  <c r="F36" i="2" s="1"/>
  <c r="S8" i="2"/>
  <c r="S7" i="2"/>
  <c r="S11" i="2" s="1"/>
  <c r="J36" i="2" s="1"/>
  <c r="Q8" i="2"/>
  <c r="Q7" i="2"/>
  <c r="L19" i="1"/>
  <c r="L25" i="1" s="1"/>
  <c r="J25" i="1"/>
  <c r="I16" i="3" l="1"/>
  <c r="Q11" i="2"/>
  <c r="H36" i="2" s="1"/>
</calcChain>
</file>

<file path=xl/sharedStrings.xml><?xml version="1.0" encoding="utf-8"?>
<sst xmlns="http://schemas.openxmlformats.org/spreadsheetml/2006/main" count="854" uniqueCount="190">
  <si>
    <t>PM30</t>
  </si>
  <si>
    <t>PM10</t>
  </si>
  <si>
    <t>PM2,5</t>
  </si>
  <si>
    <t>holes</t>
  </si>
  <si>
    <t>blastings</t>
  </si>
  <si>
    <t>Annum</t>
  </si>
  <si>
    <t>Emissions</t>
  </si>
  <si>
    <t>Drilling:</t>
  </si>
  <si>
    <t>Blasting:</t>
  </si>
  <si>
    <r>
      <t>Area m</t>
    </r>
    <r>
      <rPr>
        <vertAlign val="superscript"/>
        <sz val="11"/>
        <color theme="1"/>
        <rFont val="Calibri"/>
        <family val="2"/>
        <scheme val="minor"/>
      </rPr>
      <t>2</t>
    </r>
  </si>
  <si>
    <t>power</t>
  </si>
  <si>
    <t>k for PM30</t>
  </si>
  <si>
    <t>PM30 kg</t>
  </si>
  <si>
    <t>PM10 kg</t>
  </si>
  <si>
    <t>PM2,5 kg</t>
  </si>
  <si>
    <t>summer/winther</t>
  </si>
  <si>
    <t>summer</t>
  </si>
  <si>
    <t>winther</t>
  </si>
  <si>
    <t>Bulldozing:</t>
  </si>
  <si>
    <t>Open pit</t>
  </si>
  <si>
    <t>Weight</t>
  </si>
  <si>
    <t>tons</t>
  </si>
  <si>
    <t>Speed</t>
  </si>
  <si>
    <t>km/h</t>
  </si>
  <si>
    <t>Working time</t>
  </si>
  <si>
    <t>hours</t>
  </si>
  <si>
    <t>moving to pit</t>
  </si>
  <si>
    <t>to pit anuum</t>
  </si>
  <si>
    <t>km</t>
  </si>
  <si>
    <t>traveled</t>
  </si>
  <si>
    <t>emissions</t>
  </si>
  <si>
    <t>Working emissionfactors:</t>
  </si>
  <si>
    <r>
      <t xml:space="preserve">Traveling emissionfactors for 200 km see </t>
    </r>
    <r>
      <rPr>
        <b/>
        <sz val="11"/>
        <color theme="1"/>
        <rFont val="Calibri"/>
        <family val="2"/>
        <scheme val="minor"/>
      </rPr>
      <t>Haul Road factors</t>
    </r>
  </si>
  <si>
    <t>Loading in pits</t>
  </si>
  <si>
    <t>0re</t>
  </si>
  <si>
    <t>waste</t>
  </si>
  <si>
    <t>Total</t>
  </si>
  <si>
    <t>wind speed</t>
  </si>
  <si>
    <t>m/s</t>
  </si>
  <si>
    <t>moisture content</t>
  </si>
  <si>
    <t>summer control</t>
  </si>
  <si>
    <t>winther control</t>
  </si>
  <si>
    <t>Annum:</t>
  </si>
  <si>
    <t>Emissioons</t>
  </si>
  <si>
    <t>Operations in wastedump</t>
  </si>
  <si>
    <t>Waste</t>
  </si>
  <si>
    <t>Unloading: See emissionfactors in "Loading in pit"</t>
  </si>
  <si>
    <t>Bulldozing: See emissionfactors in "Buuldozing in pit"</t>
  </si>
  <si>
    <t>After control</t>
  </si>
  <si>
    <t>Traveling emissionfactors for 20000 km see Haul Road factors</t>
  </si>
  <si>
    <t>Activities in wastedump total:</t>
  </si>
  <si>
    <t>Ore</t>
  </si>
  <si>
    <t>Urani? Naamik Narsaq</t>
  </si>
  <si>
    <t>Greenland Minerals</t>
  </si>
  <si>
    <t>Drilling</t>
  </si>
  <si>
    <t>Unloading i wastedump</t>
  </si>
  <si>
    <t>silt %</t>
  </si>
  <si>
    <t>k</t>
  </si>
  <si>
    <t>PM30-k</t>
  </si>
  <si>
    <t>Tons</t>
  </si>
  <si>
    <t>PM10 * 0,374</t>
  </si>
  <si>
    <t>PM30/PM10</t>
  </si>
  <si>
    <t>PM10/PM30</t>
  </si>
  <si>
    <t>PM2,5/PM10</t>
  </si>
  <si>
    <t>PM10/PM2,5</t>
  </si>
  <si>
    <t>Truck</t>
  </si>
  <si>
    <t>Truck weights:</t>
  </si>
  <si>
    <t>Empty</t>
  </si>
  <si>
    <t>load</t>
  </si>
  <si>
    <t>Full load</t>
  </si>
  <si>
    <t>runs</t>
  </si>
  <si>
    <t>return</t>
  </si>
  <si>
    <t>Trucking in pit</t>
  </si>
  <si>
    <t>distance</t>
  </si>
  <si>
    <t>164 tons</t>
  </si>
  <si>
    <t>72 tons</t>
  </si>
  <si>
    <t>factor</t>
  </si>
  <si>
    <t>Trucking from pit to crossroad</t>
  </si>
  <si>
    <t>Trucking from crossroad to crusher</t>
  </si>
  <si>
    <t>Trucking from crossroad to wastedump</t>
  </si>
  <si>
    <t>Bulldozer</t>
  </si>
  <si>
    <t>weight</t>
  </si>
  <si>
    <t>Bulldozer in pit</t>
  </si>
  <si>
    <t>Bulldozer from pit to wastedump</t>
  </si>
  <si>
    <t>Trucking total in mining area</t>
  </si>
  <si>
    <t>74 tons</t>
  </si>
  <si>
    <t>Bulldozer from pit to crossroad</t>
  </si>
  <si>
    <t>Bulldozer from crossroad to wastedump</t>
  </si>
  <si>
    <t>Bulldozer from pit to pit</t>
  </si>
  <si>
    <t xml:space="preserve">Drillers form pit to pit </t>
  </si>
  <si>
    <t>Excavator from pit to pit</t>
  </si>
  <si>
    <t>Total movements for bulldozer,drillers and excavator</t>
  </si>
  <si>
    <t>Emission</t>
  </si>
  <si>
    <t>Total traffic in mining area</t>
  </si>
  <si>
    <t>Weights:</t>
  </si>
  <si>
    <t>Trailer</t>
  </si>
  <si>
    <t>Container</t>
  </si>
  <si>
    <t>2 containers</t>
  </si>
  <si>
    <t>empty</t>
  </si>
  <si>
    <t>Distance</t>
  </si>
  <si>
    <t>Metal RE Oxide</t>
  </si>
  <si>
    <t>Lanthanum Oxide</t>
  </si>
  <si>
    <t>Cerium Hydroxide</t>
  </si>
  <si>
    <t>LaCe Oxide</t>
  </si>
  <si>
    <t>Zinc Concentrate</t>
  </si>
  <si>
    <t>Fluorspar</t>
  </si>
  <si>
    <t>max tons</t>
  </si>
  <si>
    <t>20 ft</t>
  </si>
  <si>
    <t>containers</t>
  </si>
  <si>
    <t>Sum</t>
  </si>
  <si>
    <t>Export</t>
  </si>
  <si>
    <t>To every container weight with vehicle</t>
  </si>
  <si>
    <t>factors</t>
  </si>
  <si>
    <t>Yellow Cake Uranium</t>
  </si>
  <si>
    <t>Sodium Hypochlorite</t>
  </si>
  <si>
    <t>TRUPACT III</t>
  </si>
  <si>
    <t>30 ft Container</t>
  </si>
  <si>
    <t>To yellow cake:</t>
  </si>
  <si>
    <t>Empty containers</t>
  </si>
  <si>
    <t xml:space="preserve">40 ft Trailer to </t>
  </si>
  <si>
    <t>60 ft trailer</t>
  </si>
  <si>
    <t>Empty TRUPACT III</t>
  </si>
  <si>
    <t>Export total</t>
  </si>
  <si>
    <t>Import</t>
  </si>
  <si>
    <t>Sodium Carbonate</t>
  </si>
  <si>
    <t>Sulphur</t>
  </si>
  <si>
    <t>Sodium Chloride</t>
  </si>
  <si>
    <t>Limestone</t>
  </si>
  <si>
    <t>Calcium Chloride</t>
  </si>
  <si>
    <t>Miscellaneous Liquid Reagents</t>
  </si>
  <si>
    <t>Equipment Consumables</t>
  </si>
  <si>
    <t>General Freight</t>
  </si>
  <si>
    <t>netto</t>
  </si>
  <si>
    <t>Containers 25 tons netto sum</t>
  </si>
  <si>
    <t>Fueltruck</t>
  </si>
  <si>
    <t>Fuel:</t>
  </si>
  <si>
    <t>capacity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</si>
  <si>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</si>
  <si>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</si>
  <si>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diesel</t>
  </si>
  <si>
    <r>
      <t>ton/m</t>
    </r>
    <r>
      <rPr>
        <vertAlign val="superscript"/>
        <sz val="12"/>
        <color theme="1"/>
        <rFont val="Calibri"/>
        <family val="2"/>
        <scheme val="minor"/>
      </rPr>
      <t>3</t>
    </r>
  </si>
  <si>
    <t>density:</t>
  </si>
  <si>
    <t>Heavy fuel oil</t>
  </si>
  <si>
    <t>tons      =</t>
  </si>
  <si>
    <t>Full trucks</t>
  </si>
  <si>
    <t xml:space="preserve"> 1 full truck</t>
  </si>
  <si>
    <t>weight brutto</t>
  </si>
  <si>
    <t>Density</t>
  </si>
  <si>
    <t>Empty trucks</t>
  </si>
  <si>
    <t>Buses 12 tons</t>
  </si>
  <si>
    <t>trips</t>
  </si>
  <si>
    <t>Import total</t>
  </si>
  <si>
    <t>IMPORT TOTAL</t>
  </si>
  <si>
    <t>EXPORT TOTAL</t>
  </si>
  <si>
    <t>IMPORT &amp; EXPORT TOTAL (ROAD HARBOR-MINING AREA)</t>
  </si>
  <si>
    <t>PM2,50/PM10</t>
  </si>
  <si>
    <t>Maintenance of haul roads</t>
  </si>
  <si>
    <t>Grader</t>
  </si>
  <si>
    <t>Unloading from ship</t>
  </si>
  <si>
    <t>Loading to trucks</t>
  </si>
  <si>
    <t>gravel:</t>
  </si>
  <si>
    <t>Harbor-storage for gravel winther</t>
  </si>
  <si>
    <t>Trucks total</t>
  </si>
  <si>
    <t>Unloading storage</t>
  </si>
  <si>
    <t>Storage- roads summer</t>
  </si>
  <si>
    <t>Loading in roads</t>
  </si>
  <si>
    <t>working</t>
  </si>
  <si>
    <t>time</t>
  </si>
  <si>
    <t>speed:</t>
  </si>
  <si>
    <t>VKT</t>
  </si>
  <si>
    <t>Grading</t>
  </si>
  <si>
    <t>Maintenance of haul roads total</t>
  </si>
  <si>
    <t>Blasting</t>
  </si>
  <si>
    <t>Unloading to the crusher</t>
  </si>
  <si>
    <t>Trucks</t>
  </si>
  <si>
    <t>In the air</t>
  </si>
  <si>
    <t>summer  in the air</t>
  </si>
  <si>
    <t>winther in the air</t>
  </si>
  <si>
    <t>summer in the air</t>
  </si>
  <si>
    <t>drilling</t>
  </si>
  <si>
    <t>blasting</t>
  </si>
  <si>
    <t>Bulldozing in pits</t>
  </si>
  <si>
    <t>Bulldozing in pits total</t>
  </si>
  <si>
    <t>Haul roads in mining area</t>
  </si>
  <si>
    <t>ROAD HARBOR-MINING AREA</t>
  </si>
  <si>
    <t>PM30   kg</t>
  </si>
  <si>
    <t>PM10    kg</t>
  </si>
  <si>
    <t>PM2,5   kg</t>
  </si>
  <si>
    <t xml:space="preserve">The proportion </t>
  </si>
  <si>
    <r>
      <t xml:space="preserve">Traveling emissionfactors for 80000 km see </t>
    </r>
    <r>
      <rPr>
        <b/>
        <sz val="11"/>
        <color theme="1"/>
        <rFont val="Calibri"/>
        <family val="2"/>
        <scheme val="minor"/>
      </rPr>
      <t>Haul Road factors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</si>
</sst>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mediumDashed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0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10" xfId="0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0" fillId="0" borderId="11" xfId="0" applyBorder="1" applyAlignment="1">
      <alignment horizontal="center"/>
    </xf>
    <xf numFmtId="0" fontId="8" fillId="0" borderId="0" xfId="0" applyFo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5" xfId="0" applyFont="1" applyBorder="1"/>
    <xf numFmtId="0" fontId="1" fillId="0" borderId="10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0" borderId="10" xfId="0" applyFont="1" applyBorder="1"/>
    <xf numFmtId="0" fontId="4" fillId="0" borderId="10" xfId="0" applyFont="1" applyBorder="1"/>
    <xf numFmtId="0" fontId="0" fillId="0" borderId="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0" xfId="0" applyFont="1"/>
    <xf numFmtId="0" fontId="9" fillId="0" borderId="0" xfId="0" applyFont="1"/>
    <xf numFmtId="0" fontId="12" fillId="0" borderId="0" xfId="0" applyFont="1"/>
    <xf numFmtId="0" fontId="4" fillId="0" borderId="0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3" fillId="0" borderId="0" xfId="0" applyFont="1" applyBorder="1"/>
    <xf numFmtId="0" fontId="13" fillId="0" borderId="6" xfId="0" applyFont="1" applyBorder="1"/>
    <xf numFmtId="0" fontId="1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5" fillId="0" borderId="0" xfId="0" applyFont="1" applyBorder="1"/>
    <xf numFmtId="0" fontId="1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7760"/>
      <color rgb="FF64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45720</xdr:colOff>
      <xdr:row>0</xdr:row>
      <xdr:rowOff>38100</xdr:rowOff>
    </xdr:from>
    <xdr:to>
      <xdr:col>20</xdr:col>
      <xdr:colOff>414528</xdr:colOff>
      <xdr:row>1</xdr:row>
      <xdr:rowOff>22860</xdr:rowOff>
    </xdr:to>
    <xdr:sp macro="" textlink="">
      <xdr:nvSpPr>
        <xdr:cNvPr id="2" name="Pil: højre 1">
          <a:extLst>
            <a:ext uri="{FF2B5EF4-FFF2-40B4-BE49-F238E27FC236}">
              <a16:creationId xmlns:a16="http://schemas.microsoft.com/office/drawing/2014/main" id="{BAF7C27D-E3BB-40D9-9511-279B0DD95E17}"/>
            </a:ext>
          </a:extLst>
        </xdr:cNvPr>
        <xdr:cNvSpPr/>
      </xdr:nvSpPr>
      <xdr:spPr>
        <a:xfrm>
          <a:off x="13380720" y="38100"/>
          <a:ext cx="978408" cy="16764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G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A71-2799-4C9B-8F90-A8B7172C3DDC}">
  <dimension ref="B1:Y29"/>
  <sheetViews>
    <sheetView topLeftCell="D1" workbookViewId="0">
      <selection activeCell="U25" sqref="U25:Y25"/>
    </sheetView>
  </sheetViews>
  <sheetFormatPr defaultRowHeight="14.4" x14ac:dyDescent="0.3"/>
  <cols>
    <col min="7" max="7" width="10" customWidth="1"/>
    <col min="8" max="8" width="12" customWidth="1"/>
    <col min="9" max="9" width="14.77734375" customWidth="1"/>
  </cols>
  <sheetData>
    <row r="1" spans="2:24" x14ac:dyDescent="0.3">
      <c r="D1" s="1" t="s">
        <v>54</v>
      </c>
    </row>
    <row r="2" spans="2:24" x14ac:dyDescent="0.3">
      <c r="E2" t="s">
        <v>5</v>
      </c>
      <c r="I2" s="1" t="s">
        <v>52</v>
      </c>
      <c r="O2" s="24"/>
      <c r="P2" s="11"/>
      <c r="R2" s="1" t="s">
        <v>53</v>
      </c>
    </row>
    <row r="3" spans="2:24" x14ac:dyDescent="0.3">
      <c r="B3" s="1" t="s">
        <v>7</v>
      </c>
      <c r="C3" t="s">
        <v>3</v>
      </c>
      <c r="D3" t="s">
        <v>4</v>
      </c>
      <c r="E3" t="s">
        <v>3</v>
      </c>
      <c r="O3" s="24"/>
      <c r="P3" s="11"/>
    </row>
    <row r="4" spans="2:24" x14ac:dyDescent="0.3">
      <c r="C4">
        <v>59</v>
      </c>
      <c r="D4">
        <v>168</v>
      </c>
      <c r="E4">
        <v>9912</v>
      </c>
      <c r="J4" t="s">
        <v>0</v>
      </c>
      <c r="L4" t="s">
        <v>1</v>
      </c>
      <c r="N4" t="s">
        <v>2</v>
      </c>
      <c r="O4" s="24"/>
      <c r="P4" s="11"/>
      <c r="R4" s="1" t="s">
        <v>54</v>
      </c>
    </row>
    <row r="5" spans="2:24" x14ac:dyDescent="0.3">
      <c r="J5">
        <v>0.59</v>
      </c>
      <c r="L5">
        <v>0.31</v>
      </c>
      <c r="N5">
        <v>4.65E-2</v>
      </c>
      <c r="O5" s="24"/>
      <c r="P5" s="11"/>
    </row>
    <row r="6" spans="2:24" x14ac:dyDescent="0.3">
      <c r="O6" s="24"/>
      <c r="P6" s="11"/>
      <c r="R6" t="s">
        <v>5</v>
      </c>
      <c r="T6" t="s">
        <v>12</v>
      </c>
      <c r="V6" t="s">
        <v>13</v>
      </c>
      <c r="X6" t="s">
        <v>14</v>
      </c>
    </row>
    <row r="7" spans="2:24" x14ac:dyDescent="0.3">
      <c r="H7" s="22" t="s">
        <v>6</v>
      </c>
      <c r="I7" s="8"/>
      <c r="J7" s="8">
        <v>5848.08</v>
      </c>
      <c r="K7" s="8"/>
      <c r="L7" s="8">
        <v>3072.72</v>
      </c>
      <c r="M7" s="8"/>
      <c r="N7" s="9">
        <v>460.90800000000002</v>
      </c>
      <c r="O7" s="24"/>
      <c r="P7" s="11"/>
      <c r="R7" s="22" t="s">
        <v>6</v>
      </c>
      <c r="S7" s="8"/>
      <c r="T7" s="8">
        <v>5848.08</v>
      </c>
      <c r="U7" s="8"/>
      <c r="V7" s="8">
        <v>3072.72</v>
      </c>
      <c r="W7" s="7"/>
      <c r="X7" s="9">
        <v>460.90800000000002</v>
      </c>
    </row>
    <row r="8" spans="2:24" x14ac:dyDescent="0.3">
      <c r="H8" s="13"/>
      <c r="I8" s="11"/>
      <c r="J8" s="11"/>
      <c r="K8" s="11"/>
      <c r="L8" s="11"/>
      <c r="M8" s="11"/>
      <c r="N8" s="12"/>
      <c r="O8" s="24"/>
      <c r="P8" s="11"/>
      <c r="R8" s="10"/>
      <c r="S8" s="14"/>
      <c r="T8" s="14"/>
      <c r="U8" s="14"/>
      <c r="V8" s="14"/>
      <c r="W8" s="11"/>
      <c r="X8" s="15"/>
    </row>
    <row r="9" spans="2:24" x14ac:dyDescent="0.3">
      <c r="H9" s="23" t="s">
        <v>175</v>
      </c>
      <c r="I9" s="17">
        <v>0.26</v>
      </c>
      <c r="J9" s="20">
        <v>1520.5008</v>
      </c>
      <c r="K9" s="20"/>
      <c r="L9" s="20">
        <v>798.90719999999999</v>
      </c>
      <c r="M9" s="20"/>
      <c r="N9" s="21">
        <v>119.83608000000001</v>
      </c>
      <c r="O9" s="24"/>
      <c r="P9" s="11"/>
      <c r="R9" s="23" t="s">
        <v>175</v>
      </c>
      <c r="S9" s="20">
        <v>0.26</v>
      </c>
      <c r="T9" s="20">
        <v>1520.5008</v>
      </c>
      <c r="U9" s="20"/>
      <c r="V9" s="20">
        <v>798.90719999999999</v>
      </c>
      <c r="W9" s="17"/>
      <c r="X9" s="21">
        <v>119.83608000000001</v>
      </c>
    </row>
    <row r="10" spans="2:24" x14ac:dyDescent="0.3">
      <c r="O10" s="24"/>
      <c r="P10" s="11"/>
    </row>
    <row r="11" spans="2:24" x14ac:dyDescent="0.3">
      <c r="J11" s="1"/>
      <c r="O11" s="24"/>
      <c r="P11" s="11"/>
    </row>
    <row r="12" spans="2:24" x14ac:dyDescent="0.3">
      <c r="D12" s="1" t="s">
        <v>172</v>
      </c>
      <c r="I12" t="s">
        <v>5</v>
      </c>
      <c r="O12" s="24"/>
      <c r="P12" s="11"/>
    </row>
    <row r="13" spans="2:24" ht="16.2" x14ac:dyDescent="0.3">
      <c r="D13" t="str">
        <f>D3</f>
        <v>blastings</v>
      </c>
      <c r="E13" t="s">
        <v>9</v>
      </c>
      <c r="F13" t="s">
        <v>10</v>
      </c>
      <c r="G13" t="s">
        <v>11</v>
      </c>
      <c r="I13" t="s">
        <v>0</v>
      </c>
      <c r="O13" s="24"/>
      <c r="P13" s="11"/>
    </row>
    <row r="14" spans="2:24" x14ac:dyDescent="0.3">
      <c r="B14" s="1" t="s">
        <v>8</v>
      </c>
      <c r="D14">
        <f>D4</f>
        <v>168</v>
      </c>
      <c r="E14">
        <v>2200</v>
      </c>
      <c r="F14">
        <v>1.5</v>
      </c>
      <c r="G14">
        <v>2.2000000000000001E-4</v>
      </c>
      <c r="I14">
        <f>POWER(E14,F14)*G14*D14</f>
        <v>3813.8708626276275</v>
      </c>
      <c r="O14" s="24"/>
      <c r="P14" s="11"/>
    </row>
    <row r="15" spans="2:24" x14ac:dyDescent="0.3">
      <c r="L15">
        <v>0.52</v>
      </c>
      <c r="N15">
        <v>0.03</v>
      </c>
      <c r="O15" s="24"/>
      <c r="P15" s="11"/>
    </row>
    <row r="16" spans="2:24" x14ac:dyDescent="0.3">
      <c r="J16" t="s">
        <v>12</v>
      </c>
      <c r="L16" t="s">
        <v>13</v>
      </c>
      <c r="N16" t="s">
        <v>14</v>
      </c>
      <c r="O16" s="24"/>
      <c r="P16" s="11"/>
    </row>
    <row r="17" spans="7:25" x14ac:dyDescent="0.3">
      <c r="I17" s="1" t="str">
        <f>H7</f>
        <v>Emissions</v>
      </c>
      <c r="J17" s="1">
        <f>I14</f>
        <v>3813.8708626276275</v>
      </c>
      <c r="K17" s="1"/>
      <c r="L17" s="1">
        <f>J17*L15</f>
        <v>1983.2128485663663</v>
      </c>
      <c r="M17" s="1"/>
      <c r="N17" s="1">
        <f>N15*J17</f>
        <v>114.41612587882882</v>
      </c>
      <c r="O17" s="24"/>
      <c r="P17" s="11"/>
    </row>
    <row r="18" spans="7:25" x14ac:dyDescent="0.3">
      <c r="H18">
        <v>2</v>
      </c>
      <c r="I18" t="s">
        <v>15</v>
      </c>
      <c r="J18">
        <f>J17/H18</f>
        <v>1906.9354313138138</v>
      </c>
      <c r="L18">
        <f>L17/H18</f>
        <v>991.60642428318317</v>
      </c>
      <c r="N18">
        <f>N17/H18</f>
        <v>57.208062939414411</v>
      </c>
      <c r="O18" s="24"/>
      <c r="P18" s="11"/>
    </row>
    <row r="19" spans="7:25" x14ac:dyDescent="0.3">
      <c r="G19" s="2" t="s">
        <v>175</v>
      </c>
      <c r="H19" s="2">
        <v>0.28000000000000003</v>
      </c>
      <c r="I19" s="2" t="s">
        <v>16</v>
      </c>
      <c r="J19" s="2">
        <f>J18*H19</f>
        <v>533.94192076786794</v>
      </c>
      <c r="K19" s="2"/>
      <c r="L19" s="2">
        <f>L18*H19</f>
        <v>277.64979879929132</v>
      </c>
      <c r="M19" s="2"/>
      <c r="N19" s="2">
        <f>N18*H19</f>
        <v>16.018257623036035</v>
      </c>
      <c r="O19" s="24"/>
      <c r="P19" s="11"/>
    </row>
    <row r="20" spans="7:25" x14ac:dyDescent="0.3">
      <c r="G20" s="3" t="s">
        <v>175</v>
      </c>
      <c r="H20" s="3">
        <v>1</v>
      </c>
      <c r="I20" s="3" t="s">
        <v>17</v>
      </c>
      <c r="J20" s="3">
        <f>J18</f>
        <v>1906.9354313138138</v>
      </c>
      <c r="K20" s="3"/>
      <c r="L20" s="3">
        <f>L18</f>
        <v>991.60642428318317</v>
      </c>
      <c r="M20" s="3"/>
      <c r="N20" s="3">
        <f>N18</f>
        <v>57.208062939414411</v>
      </c>
      <c r="O20" s="24"/>
      <c r="P20" s="11"/>
      <c r="Q20" s="1" t="str">
        <f>D12</f>
        <v>Blasting</v>
      </c>
    </row>
    <row r="21" spans="7:25" x14ac:dyDescent="0.3">
      <c r="O21" s="24"/>
      <c r="P21" s="11"/>
    </row>
    <row r="22" spans="7:25" x14ac:dyDescent="0.3">
      <c r="G22" s="6" t="s">
        <v>5</v>
      </c>
      <c r="H22" s="7"/>
      <c r="I22" s="7"/>
      <c r="J22" s="7" t="s">
        <v>12</v>
      </c>
      <c r="K22" s="7"/>
      <c r="L22" s="7" t="s">
        <v>13</v>
      </c>
      <c r="M22" s="7"/>
      <c r="N22" s="19" t="s">
        <v>14</v>
      </c>
      <c r="O22" s="24"/>
      <c r="P22" s="11"/>
      <c r="Q22" s="22"/>
      <c r="R22" s="8" t="s">
        <v>5</v>
      </c>
      <c r="S22" s="8"/>
      <c r="T22" s="8"/>
      <c r="U22" s="8" t="s">
        <v>12</v>
      </c>
      <c r="V22" s="8"/>
      <c r="W22" s="8" t="s">
        <v>13</v>
      </c>
      <c r="X22" s="8"/>
      <c r="Y22" s="9" t="s">
        <v>14</v>
      </c>
    </row>
    <row r="23" spans="7:25" x14ac:dyDescent="0.3">
      <c r="G23" s="10" t="s">
        <v>43</v>
      </c>
      <c r="H23" s="11"/>
      <c r="I23" s="11"/>
      <c r="J23" s="14">
        <f>J17</f>
        <v>3813.8708626276275</v>
      </c>
      <c r="K23" s="14"/>
      <c r="L23" s="14">
        <f>L17</f>
        <v>1983.2128485663663</v>
      </c>
      <c r="M23" s="14"/>
      <c r="N23" s="15">
        <f>N17</f>
        <v>114.41612587882882</v>
      </c>
      <c r="O23" s="24"/>
      <c r="P23" s="11"/>
      <c r="Q23" s="10"/>
      <c r="R23" s="14" t="s">
        <v>43</v>
      </c>
      <c r="S23" s="14"/>
      <c r="T23" s="14"/>
      <c r="U23" s="14">
        <v>3813.8708626276275</v>
      </c>
      <c r="V23" s="14"/>
      <c r="W23" s="14">
        <v>1983.2128485663663</v>
      </c>
      <c r="X23" s="14"/>
      <c r="Y23" s="15">
        <v>114.41612587882882</v>
      </c>
    </row>
    <row r="24" spans="7:25" x14ac:dyDescent="0.3">
      <c r="G24" s="13"/>
      <c r="H24" s="11"/>
      <c r="I24" s="11"/>
      <c r="J24" s="11"/>
      <c r="K24" s="11"/>
      <c r="L24" s="11"/>
      <c r="M24" s="11"/>
      <c r="N24" s="12"/>
      <c r="O24" s="24"/>
      <c r="P24" s="11"/>
      <c r="Q24" s="10"/>
      <c r="R24" s="14"/>
      <c r="S24" s="14"/>
      <c r="T24" s="14"/>
      <c r="U24" s="14"/>
      <c r="V24" s="14"/>
      <c r="W24" s="14"/>
      <c r="X24" s="14"/>
      <c r="Y24" s="15"/>
    </row>
    <row r="25" spans="7:25" x14ac:dyDescent="0.3">
      <c r="G25" s="23" t="s">
        <v>175</v>
      </c>
      <c r="H25" s="17"/>
      <c r="I25" s="17"/>
      <c r="J25" s="20">
        <f>SUM(J19:J22)</f>
        <v>2440.8773520816817</v>
      </c>
      <c r="K25" s="20"/>
      <c r="L25" s="20">
        <f>SUM(L19:L22)</f>
        <v>1269.2562230824744</v>
      </c>
      <c r="M25" s="20"/>
      <c r="N25" s="21">
        <f>SUM(N19:N22)</f>
        <v>73.226320562450439</v>
      </c>
      <c r="O25" s="24"/>
      <c r="P25" s="11"/>
      <c r="Q25" s="23">
        <v>0.28000000000000003</v>
      </c>
      <c r="R25" s="20" t="s">
        <v>175</v>
      </c>
      <c r="S25" s="20"/>
      <c r="T25" s="20"/>
      <c r="U25" s="20">
        <f>U23*Q25</f>
        <v>1067.8838415357359</v>
      </c>
      <c r="V25" s="20"/>
      <c r="W25" s="20">
        <f>W23*Q25</f>
        <v>555.29959759858264</v>
      </c>
      <c r="X25" s="20"/>
      <c r="Y25" s="21">
        <f>Q25*Y23</f>
        <v>32.036515246072071</v>
      </c>
    </row>
    <row r="26" spans="7:25" x14ac:dyDescent="0.3">
      <c r="O26" s="24"/>
      <c r="P26" s="11"/>
    </row>
    <row r="27" spans="7:25" x14ac:dyDescent="0.3">
      <c r="O27" s="24"/>
      <c r="P27" s="11"/>
    </row>
    <row r="28" spans="7:25" x14ac:dyDescent="0.3">
      <c r="O28" s="24"/>
      <c r="P28" s="11"/>
    </row>
    <row r="29" spans="7:25" x14ac:dyDescent="0.3">
      <c r="O29" s="24"/>
      <c r="P29" s="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2CCB-BD3B-410B-8CA8-A598E7C9B270}">
  <dimension ref="B1:AC25"/>
  <sheetViews>
    <sheetView topLeftCell="B2" zoomScale="120" zoomScaleNormal="120" workbookViewId="0">
      <selection activeCell="E19" sqref="E19"/>
    </sheetView>
  </sheetViews>
  <sheetFormatPr defaultRowHeight="14.4" x14ac:dyDescent="0.3"/>
  <cols>
    <col min="2" max="2" width="26.21875" customWidth="1"/>
    <col min="17" max="17" width="26.77734375" customWidth="1"/>
  </cols>
  <sheetData>
    <row r="1" spans="2:29" x14ac:dyDescent="0.3">
      <c r="E1" t="s">
        <v>52</v>
      </c>
      <c r="O1" s="24"/>
    </row>
    <row r="2" spans="2:29" x14ac:dyDescent="0.3">
      <c r="C2" s="1" t="s">
        <v>6</v>
      </c>
      <c r="J2" s="1" t="s">
        <v>175</v>
      </c>
      <c r="O2" s="24"/>
      <c r="R2" t="s">
        <v>6</v>
      </c>
      <c r="Y2" t="s">
        <v>175</v>
      </c>
    </row>
    <row r="3" spans="2:29" x14ac:dyDescent="0.3">
      <c r="C3" t="s">
        <v>185</v>
      </c>
      <c r="E3" t="s">
        <v>186</v>
      </c>
      <c r="G3" t="s">
        <v>187</v>
      </c>
      <c r="J3" t="s">
        <v>185</v>
      </c>
      <c r="L3" t="s">
        <v>186</v>
      </c>
      <c r="N3" t="s">
        <v>187</v>
      </c>
      <c r="O3" s="24"/>
      <c r="R3" t="s">
        <v>185</v>
      </c>
      <c r="T3" t="s">
        <v>186</v>
      </c>
      <c r="V3" t="s">
        <v>187</v>
      </c>
      <c r="Y3" t="s">
        <v>185</v>
      </c>
      <c r="AA3" t="s">
        <v>186</v>
      </c>
      <c r="AC3" t="s">
        <v>187</v>
      </c>
    </row>
    <row r="4" spans="2:29" x14ac:dyDescent="0.3">
      <c r="B4" t="s">
        <v>179</v>
      </c>
      <c r="C4">
        <v>5848.08</v>
      </c>
      <c r="E4">
        <v>3072.72</v>
      </c>
      <c r="G4">
        <v>460.90800000000002</v>
      </c>
      <c r="J4">
        <v>1520.5008</v>
      </c>
      <c r="L4">
        <v>798.90719999999999</v>
      </c>
      <c r="N4">
        <v>119.83608000000001</v>
      </c>
      <c r="O4" s="24"/>
      <c r="Q4" t="s">
        <v>179</v>
      </c>
      <c r="R4">
        <v>5848.08</v>
      </c>
      <c r="T4">
        <v>3072.72</v>
      </c>
      <c r="V4">
        <v>460.90800000000002</v>
      </c>
      <c r="Y4">
        <v>1520.5008</v>
      </c>
      <c r="AA4">
        <v>798.90719999999999</v>
      </c>
      <c r="AC4">
        <v>119.83608000000001</v>
      </c>
    </row>
    <row r="5" spans="2:29" x14ac:dyDescent="0.3">
      <c r="B5" t="s">
        <v>180</v>
      </c>
      <c r="C5">
        <v>3813.8708626276275</v>
      </c>
      <c r="E5">
        <v>1983.2128485663663</v>
      </c>
      <c r="G5">
        <v>114.41612587882882</v>
      </c>
      <c r="J5">
        <v>2440.8773520816817</v>
      </c>
      <c r="L5">
        <v>1269.2562230824744</v>
      </c>
      <c r="N5">
        <v>73.226320562450439</v>
      </c>
      <c r="O5" s="24"/>
      <c r="Q5" t="s">
        <v>180</v>
      </c>
      <c r="R5">
        <v>3813.8708626276275</v>
      </c>
      <c r="T5">
        <v>1983.2128485663663</v>
      </c>
      <c r="V5">
        <v>114.41612587882882</v>
      </c>
      <c r="Y5">
        <v>1067.8838415357359</v>
      </c>
      <c r="AA5">
        <v>555.29959759858264</v>
      </c>
      <c r="AC5">
        <v>32.036515246072071</v>
      </c>
    </row>
    <row r="6" spans="2:29" x14ac:dyDescent="0.3">
      <c r="B6" t="s">
        <v>181</v>
      </c>
      <c r="C6">
        <v>199790.93674679351</v>
      </c>
      <c r="E6">
        <v>46826.864302381502</v>
      </c>
      <c r="G6">
        <v>18709.006684572218</v>
      </c>
      <c r="J6">
        <v>129708.43236465646</v>
      </c>
      <c r="L6">
        <v>30399.399501791439</v>
      </c>
      <c r="N6">
        <v>12146.619046732996</v>
      </c>
      <c r="O6" s="24"/>
      <c r="Q6" t="s">
        <v>181</v>
      </c>
      <c r="R6">
        <v>32438.676930538732</v>
      </c>
      <c r="T6">
        <v>5909.897439104363</v>
      </c>
      <c r="V6">
        <v>3406.0610777065672</v>
      </c>
      <c r="Y6">
        <v>9731.6030791616195</v>
      </c>
      <c r="AA6">
        <v>1772.9692317313088</v>
      </c>
      <c r="AC6">
        <v>1021.8183233119701</v>
      </c>
    </row>
    <row r="7" spans="2:29" x14ac:dyDescent="0.3">
      <c r="B7" t="s">
        <v>33</v>
      </c>
      <c r="C7">
        <v>18935.694397157571</v>
      </c>
      <c r="E7">
        <v>8956.0716743312823</v>
      </c>
      <c r="G7">
        <v>1356.2051392558801</v>
      </c>
      <c r="J7">
        <v>12308.201358152421</v>
      </c>
      <c r="L7">
        <v>5821.4465883153334</v>
      </c>
      <c r="N7">
        <v>881.53334051632203</v>
      </c>
      <c r="O7" s="24"/>
      <c r="Q7" t="s">
        <v>33</v>
      </c>
      <c r="R7">
        <v>18935.694397157571</v>
      </c>
      <c r="T7">
        <v>8956.0716743312823</v>
      </c>
      <c r="V7">
        <v>1356.2051392558801</v>
      </c>
      <c r="Y7">
        <v>5680.7083191472711</v>
      </c>
      <c r="AA7">
        <v>2686.8215022993845</v>
      </c>
      <c r="AC7">
        <v>406.861541776764</v>
      </c>
    </row>
    <row r="8" spans="2:29" x14ac:dyDescent="0.3">
      <c r="B8" t="s">
        <v>44</v>
      </c>
      <c r="C8">
        <v>75686.275551396917</v>
      </c>
      <c r="E8">
        <v>19950.28986249083</v>
      </c>
      <c r="G8">
        <v>6883.6525195826298</v>
      </c>
      <c r="J8">
        <v>49196.079108407997</v>
      </c>
      <c r="L8">
        <v>12967.688410619039</v>
      </c>
      <c r="N8">
        <v>4474.3741377287097</v>
      </c>
      <c r="O8" s="24"/>
      <c r="Q8" t="s">
        <v>44</v>
      </c>
      <c r="R8">
        <v>20087.518137358798</v>
      </c>
      <c r="T8">
        <v>6356.6131637276612</v>
      </c>
      <c r="V8">
        <v>1799.617434245205</v>
      </c>
      <c r="Y8">
        <v>6026.2554412076388</v>
      </c>
      <c r="AA8">
        <v>1906.9839491182984</v>
      </c>
      <c r="AC8">
        <v>539.88523027356155</v>
      </c>
    </row>
    <row r="9" spans="2:29" x14ac:dyDescent="0.3">
      <c r="B9" t="s">
        <v>173</v>
      </c>
      <c r="C9">
        <v>9661.0685699783535</v>
      </c>
      <c r="E9">
        <v>4569.42432363841</v>
      </c>
      <c r="G9">
        <v>691.94139757953064</v>
      </c>
      <c r="J9">
        <v>6279.6945704859299</v>
      </c>
      <c r="L9">
        <v>2970.1258103649666</v>
      </c>
      <c r="N9">
        <v>449.7619084266949</v>
      </c>
      <c r="O9" s="24"/>
      <c r="Q9" t="s">
        <v>173</v>
      </c>
      <c r="R9">
        <v>9661.0685699783535</v>
      </c>
      <c r="T9">
        <v>4569.42432363841</v>
      </c>
      <c r="V9">
        <v>691.94139757953064</v>
      </c>
      <c r="Y9">
        <v>2898.320570993506</v>
      </c>
      <c r="AA9">
        <v>1370.827297091523</v>
      </c>
      <c r="AC9">
        <v>207.58241927385919</v>
      </c>
    </row>
    <row r="10" spans="2:29" x14ac:dyDescent="0.3">
      <c r="B10" t="s">
        <v>183</v>
      </c>
      <c r="C10">
        <v>1671165.4854330553</v>
      </c>
      <c r="E10">
        <v>398087.64716056146</v>
      </c>
      <c r="G10">
        <v>148884.78003804997</v>
      </c>
      <c r="J10">
        <v>618331.22961023054</v>
      </c>
      <c r="L10">
        <v>151179.54463399382</v>
      </c>
      <c r="N10">
        <v>56541.149693113686</v>
      </c>
      <c r="O10" s="24"/>
      <c r="Q10" t="s">
        <v>183</v>
      </c>
      <c r="R10">
        <v>613536</v>
      </c>
      <c r="T10">
        <v>150007.12992457167</v>
      </c>
      <c r="V10">
        <v>56102.666591789792</v>
      </c>
      <c r="Y10">
        <v>227008.31999999998</v>
      </c>
      <c r="AA10">
        <v>55502.638072091511</v>
      </c>
      <c r="AC10">
        <v>20757.986638962222</v>
      </c>
    </row>
    <row r="11" spans="2:29" x14ac:dyDescent="0.3">
      <c r="B11" t="s">
        <v>184</v>
      </c>
      <c r="C11">
        <v>710962.88336795638</v>
      </c>
      <c r="E11">
        <v>173827.61829285507</v>
      </c>
      <c r="G11">
        <v>65011.529241527802</v>
      </c>
      <c r="J11">
        <v>263056.26684614387</v>
      </c>
      <c r="L11">
        <v>64316.218768356375</v>
      </c>
      <c r="N11">
        <v>24054.265819365286</v>
      </c>
      <c r="O11" s="24"/>
      <c r="Q11" t="s">
        <v>184</v>
      </c>
      <c r="R11">
        <v>432700</v>
      </c>
      <c r="T11">
        <v>105793.44181655544</v>
      </c>
      <c r="V11">
        <v>39566.747239391734</v>
      </c>
      <c r="Y11">
        <v>160099</v>
      </c>
      <c r="AA11">
        <v>39143.573472125514</v>
      </c>
      <c r="AC11">
        <v>14639.696478574941</v>
      </c>
    </row>
    <row r="12" spans="2:29" x14ac:dyDescent="0.3">
      <c r="B12" t="s">
        <v>156</v>
      </c>
      <c r="C12">
        <v>175997.5177196041</v>
      </c>
      <c r="E12">
        <v>43472.35418459255</v>
      </c>
      <c r="G12">
        <v>15937.005167617208</v>
      </c>
      <c r="J12">
        <v>48092.352933971786</v>
      </c>
      <c r="L12">
        <v>12045.400388418851</v>
      </c>
      <c r="N12">
        <v>4337.2915250802407</v>
      </c>
      <c r="O12" s="24"/>
      <c r="Q12" t="s">
        <v>156</v>
      </c>
      <c r="R12">
        <v>2166.4764249813588</v>
      </c>
      <c r="T12">
        <v>677.04000000000008</v>
      </c>
      <c r="V12">
        <v>67.160769174422114</v>
      </c>
      <c r="Y12">
        <v>649.94292749440763</v>
      </c>
      <c r="AA12">
        <v>203.11200000000002</v>
      </c>
      <c r="AC12">
        <v>20.148230752326633</v>
      </c>
    </row>
    <row r="13" spans="2:29" x14ac:dyDescent="0.3">
      <c r="O13" s="24"/>
    </row>
    <row r="14" spans="2:29" x14ac:dyDescent="0.3">
      <c r="B14" t="s">
        <v>36</v>
      </c>
      <c r="C14">
        <f>SUM(C4:C13)</f>
        <v>2871861.8126485697</v>
      </c>
      <c r="E14">
        <f>SUM(E4:E13)</f>
        <v>700746.20264941757</v>
      </c>
      <c r="G14">
        <f>SUM(G4:G13)</f>
        <v>258049.44431406405</v>
      </c>
      <c r="J14">
        <f>SUM(J4:J13)</f>
        <v>1130933.6349441307</v>
      </c>
      <c r="L14">
        <f>SUM(L4:L13)</f>
        <v>281767.98752494232</v>
      </c>
      <c r="N14">
        <f>SUM(N4:N13)</f>
        <v>103078.0578715264</v>
      </c>
      <c r="O14" s="24"/>
      <c r="Q14" t="s">
        <v>36</v>
      </c>
      <c r="R14">
        <f>SUM(R4:R13)-R12</f>
        <v>1137020.9088976611</v>
      </c>
      <c r="T14">
        <f>SUM(T4:T13)-T12</f>
        <v>286648.51119049516</v>
      </c>
      <c r="V14">
        <f>SUM(V4:V13)-V12</f>
        <v>103498.56300584754</v>
      </c>
      <c r="Y14">
        <f>SUM(Y4:Y13)-Y12</f>
        <v>414032.59205204574</v>
      </c>
      <c r="AA14">
        <f>SUM(AA4:AA13)-AA12</f>
        <v>103738.02032205612</v>
      </c>
      <c r="AC14">
        <f>SUM(AC4:AC13)-AC12</f>
        <v>37725.703227419392</v>
      </c>
    </row>
    <row r="15" spans="2:29" x14ac:dyDescent="0.3">
      <c r="O15" s="24"/>
    </row>
    <row r="16" spans="2:29" x14ac:dyDescent="0.3">
      <c r="B16" t="s">
        <v>188</v>
      </c>
      <c r="C16">
        <f>C14/R14</f>
        <v>2.5257774858624478</v>
      </c>
      <c r="E16">
        <f>E14/T14</f>
        <v>2.4446183227643892</v>
      </c>
      <c r="G16">
        <f>G14/V14</f>
        <v>2.493265962537901</v>
      </c>
      <c r="J16">
        <f>J14/Y14</f>
        <v>2.7315087185261184</v>
      </c>
      <c r="L16">
        <f>L14/AA14</f>
        <v>2.7161496493782096</v>
      </c>
      <c r="N16">
        <f>N14/AC14</f>
        <v>2.73230315284377</v>
      </c>
      <c r="O16" s="24"/>
    </row>
    <row r="17" spans="15:15" x14ac:dyDescent="0.3">
      <c r="O17" s="24"/>
    </row>
    <row r="18" spans="15:15" x14ac:dyDescent="0.3">
      <c r="O18" s="24"/>
    </row>
    <row r="19" spans="15:15" x14ac:dyDescent="0.3">
      <c r="O19" s="24"/>
    </row>
    <row r="20" spans="15:15" x14ac:dyDescent="0.3">
      <c r="O20" s="24"/>
    </row>
    <row r="21" spans="15:15" x14ac:dyDescent="0.3">
      <c r="O21" s="24"/>
    </row>
    <row r="22" spans="15:15" x14ac:dyDescent="0.3">
      <c r="O22" s="24"/>
    </row>
    <row r="23" spans="15:15" x14ac:dyDescent="0.3">
      <c r="O23" s="24"/>
    </row>
    <row r="24" spans="15:15" x14ac:dyDescent="0.3">
      <c r="O24" s="24"/>
    </row>
    <row r="25" spans="15:15" x14ac:dyDescent="0.3">
      <c r="O25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9E2D-3C31-4186-A943-CEAAE187D001}">
  <dimension ref="A1:AC37"/>
  <sheetViews>
    <sheetView tabSelected="1" workbookViewId="0">
      <selection activeCell="O15" sqref="O15"/>
    </sheetView>
  </sheetViews>
  <sheetFormatPr defaultRowHeight="14.4" x14ac:dyDescent="0.3"/>
  <cols>
    <col min="1" max="1" width="11.5546875" customWidth="1"/>
    <col min="2" max="2" width="10.77734375" customWidth="1"/>
    <col min="13" max="13" width="5.77734375" customWidth="1"/>
    <col min="14" max="14" width="14.33203125" customWidth="1"/>
    <col min="20" max="20" width="8.88671875" style="24"/>
    <col min="23" max="23" width="10.33203125" customWidth="1"/>
    <col min="24" max="24" width="11.21875" customWidth="1"/>
  </cols>
  <sheetData>
    <row r="1" spans="1:29" x14ac:dyDescent="0.3">
      <c r="O1" s="1" t="s">
        <v>52</v>
      </c>
      <c r="X1" s="1" t="s">
        <v>53</v>
      </c>
    </row>
    <row r="3" spans="1:29" x14ac:dyDescent="0.3">
      <c r="B3" t="s">
        <v>19</v>
      </c>
      <c r="F3" t="s">
        <v>31</v>
      </c>
      <c r="O3">
        <f>G5*H5*I5/J5</f>
        <v>5.4064461550897889</v>
      </c>
      <c r="Q3">
        <f>G7*H7*I7/J7</f>
        <v>0.98498290651739384</v>
      </c>
      <c r="S3">
        <f>O3*H9</f>
        <v>0.56767684628442783</v>
      </c>
      <c r="W3" s="1" t="s">
        <v>19</v>
      </c>
    </row>
    <row r="4" spans="1:29" x14ac:dyDescent="0.3">
      <c r="B4" s="1" t="s">
        <v>18</v>
      </c>
      <c r="O4" t="s">
        <v>0</v>
      </c>
      <c r="Q4" t="s">
        <v>1</v>
      </c>
      <c r="S4" t="s">
        <v>2</v>
      </c>
      <c r="W4" s="1" t="s">
        <v>18</v>
      </c>
    </row>
    <row r="5" spans="1:29" x14ac:dyDescent="0.3">
      <c r="F5" t="s">
        <v>0</v>
      </c>
      <c r="G5" s="5">
        <v>2.6</v>
      </c>
      <c r="H5" s="5">
        <v>1</v>
      </c>
      <c r="I5" s="5">
        <f>POWER(3.9,1.2)</f>
        <v>5.1200892152991511</v>
      </c>
      <c r="J5" s="5">
        <f>POWER(2,1.3)</f>
        <v>2.4622888266898326</v>
      </c>
      <c r="K5" s="3"/>
      <c r="L5" s="3"/>
      <c r="N5" s="1" t="s">
        <v>30</v>
      </c>
      <c r="O5" s="1">
        <f>B8*O3</f>
        <v>43251.569240718309</v>
      </c>
      <c r="P5" s="1"/>
      <c r="Q5" s="1">
        <f>Q3*B8</f>
        <v>7879.863252139151</v>
      </c>
      <c r="R5" s="1"/>
      <c r="S5" s="1">
        <f>S3*B8</f>
        <v>4541.4147702754226</v>
      </c>
    </row>
    <row r="6" spans="1:29" x14ac:dyDescent="0.3">
      <c r="A6" t="s">
        <v>20</v>
      </c>
      <c r="B6">
        <v>74</v>
      </c>
      <c r="C6" t="s">
        <v>21</v>
      </c>
      <c r="G6" s="5"/>
      <c r="H6" s="5"/>
      <c r="I6" s="5"/>
      <c r="J6" s="5"/>
      <c r="M6" s="4">
        <v>2</v>
      </c>
      <c r="N6" t="s">
        <v>15</v>
      </c>
      <c r="O6">
        <f>O5/M6</f>
        <v>21625.784620359154</v>
      </c>
      <c r="Q6">
        <f>Q5/M6</f>
        <v>3939.9316260695755</v>
      </c>
      <c r="S6">
        <f>S5/M6</f>
        <v>2270.7073851377113</v>
      </c>
    </row>
    <row r="7" spans="1:29" x14ac:dyDescent="0.3">
      <c r="A7" t="s">
        <v>22</v>
      </c>
      <c r="B7">
        <v>10</v>
      </c>
      <c r="C7" t="s">
        <v>23</v>
      </c>
      <c r="F7" t="s">
        <v>1</v>
      </c>
      <c r="G7" s="5">
        <v>0.45</v>
      </c>
      <c r="H7" s="5">
        <v>0.75</v>
      </c>
      <c r="I7" s="5">
        <f>POWER(3.9,1.5)</f>
        <v>7.7018828866712843</v>
      </c>
      <c r="J7" s="5">
        <f>POWER(2,1.4)</f>
        <v>2.6390158215457884</v>
      </c>
      <c r="K7" s="3"/>
      <c r="L7" s="2" t="s">
        <v>175</v>
      </c>
      <c r="M7" s="2">
        <v>0.3</v>
      </c>
      <c r="N7" s="2" t="s">
        <v>16</v>
      </c>
      <c r="O7" s="2">
        <f>O6*M7</f>
        <v>6487.7353861077463</v>
      </c>
      <c r="P7" s="2"/>
      <c r="Q7" s="2">
        <f>Q6*M7</f>
        <v>1181.9794878208727</v>
      </c>
      <c r="R7" s="2"/>
      <c r="S7" s="2">
        <f>S6*M7</f>
        <v>681.21221554131341</v>
      </c>
      <c r="W7" s="6"/>
      <c r="X7" s="7"/>
      <c r="Y7" s="7">
        <v>5.4064461550897889</v>
      </c>
      <c r="Z7" s="7"/>
      <c r="AA7" s="7">
        <v>0.98498290651739384</v>
      </c>
      <c r="AB7" s="7"/>
      <c r="AC7" s="19">
        <v>0.56767684628442783</v>
      </c>
    </row>
    <row r="8" spans="1:29" x14ac:dyDescent="0.3">
      <c r="A8" t="s">
        <v>24</v>
      </c>
      <c r="B8">
        <v>8000</v>
      </c>
      <c r="C8" t="s">
        <v>25</v>
      </c>
      <c r="G8" s="5"/>
      <c r="H8" s="5"/>
      <c r="I8" s="5"/>
      <c r="J8" s="5"/>
      <c r="L8" s="3" t="s">
        <v>175</v>
      </c>
      <c r="M8" s="3">
        <v>1</v>
      </c>
      <c r="N8" s="3" t="s">
        <v>17</v>
      </c>
      <c r="O8" s="3">
        <f>O6</f>
        <v>21625.784620359154</v>
      </c>
      <c r="P8" s="3"/>
      <c r="Q8" s="3">
        <f>Q6</f>
        <v>3939.9316260695755</v>
      </c>
      <c r="R8" s="3"/>
      <c r="S8" s="3">
        <f>S6</f>
        <v>2270.7073851377113</v>
      </c>
      <c r="W8" s="13"/>
      <c r="X8" s="11" t="s">
        <v>5</v>
      </c>
      <c r="Y8" s="11" t="s">
        <v>12</v>
      </c>
      <c r="Z8" s="11"/>
      <c r="AA8" s="11" t="s">
        <v>13</v>
      </c>
      <c r="AB8" s="11"/>
      <c r="AC8" s="12" t="s">
        <v>14</v>
      </c>
    </row>
    <row r="9" spans="1:29" x14ac:dyDescent="0.3">
      <c r="A9" t="s">
        <v>29</v>
      </c>
      <c r="B9">
        <f>B7*B8</f>
        <v>80000</v>
      </c>
      <c r="C9" t="s">
        <v>28</v>
      </c>
      <c r="F9" t="s">
        <v>2</v>
      </c>
      <c r="G9" s="5">
        <f>G5</f>
        <v>2.6</v>
      </c>
      <c r="H9" s="5">
        <v>0.105</v>
      </c>
      <c r="I9" s="5">
        <f>I5</f>
        <v>5.1200892152991511</v>
      </c>
      <c r="J9" s="5">
        <f>J5</f>
        <v>2.4622888266898326</v>
      </c>
      <c r="K9" s="3"/>
      <c r="L9" s="3"/>
      <c r="W9" s="10"/>
      <c r="X9" s="14" t="s">
        <v>30</v>
      </c>
      <c r="Y9" s="14">
        <v>32438.676930538732</v>
      </c>
      <c r="Z9" s="14"/>
      <c r="AA9" s="14">
        <v>5909.897439104363</v>
      </c>
      <c r="AB9" s="14"/>
      <c r="AC9" s="15">
        <v>3406.0610777065672</v>
      </c>
    </row>
    <row r="10" spans="1:29" x14ac:dyDescent="0.3">
      <c r="A10" t="s">
        <v>26</v>
      </c>
      <c r="L10" t="s">
        <v>5</v>
      </c>
      <c r="W10" s="10"/>
      <c r="X10" s="14"/>
      <c r="Y10" s="14"/>
      <c r="Z10" s="14"/>
      <c r="AA10" s="14"/>
      <c r="AB10" s="14"/>
      <c r="AC10" s="15"/>
    </row>
    <row r="11" spans="1:29" x14ac:dyDescent="0.3">
      <c r="A11" t="s">
        <v>27</v>
      </c>
      <c r="B11">
        <v>334</v>
      </c>
      <c r="C11" t="s">
        <v>28</v>
      </c>
      <c r="L11" t="s">
        <v>175</v>
      </c>
      <c r="O11" s="1">
        <f>SUM(O7:O10)</f>
        <v>28113.520006466901</v>
      </c>
      <c r="P11" s="1"/>
      <c r="Q11" s="1">
        <f>SUM(Q7:Q10)</f>
        <v>5121.9111138904482</v>
      </c>
      <c r="R11" s="1"/>
      <c r="S11" s="1">
        <f>SUM(S7:S10)</f>
        <v>2951.9196006790248</v>
      </c>
      <c r="W11" s="23">
        <v>0.3</v>
      </c>
      <c r="X11" s="20" t="s">
        <v>48</v>
      </c>
      <c r="Y11" s="20">
        <f>Y9*W11</f>
        <v>9731.6030791616195</v>
      </c>
      <c r="Z11" s="20"/>
      <c r="AA11" s="20">
        <f>AA9*W11</f>
        <v>1772.9692317313088</v>
      </c>
      <c r="AB11" s="20"/>
      <c r="AC11" s="21">
        <f>AC9*W11</f>
        <v>1021.8183233119701</v>
      </c>
    </row>
    <row r="13" spans="1:29" x14ac:dyDescent="0.3">
      <c r="O13">
        <v>2.7799378707019065</v>
      </c>
      <c r="Q13">
        <v>0.67968383493815843</v>
      </c>
      <c r="S13">
        <v>0.25420175426687125</v>
      </c>
    </row>
    <row r="14" spans="1:29" x14ac:dyDescent="0.3">
      <c r="F14" t="s">
        <v>189</v>
      </c>
      <c r="O14" t="s">
        <v>0</v>
      </c>
      <c r="Q14" t="s">
        <v>1</v>
      </c>
      <c r="S14" t="s">
        <v>2</v>
      </c>
    </row>
    <row r="15" spans="1:29" x14ac:dyDescent="0.3">
      <c r="N15" s="1" t="s">
        <v>30</v>
      </c>
      <c r="O15" s="1">
        <f>B9*O13</f>
        <v>222395.0296561525</v>
      </c>
      <c r="P15" s="1"/>
      <c r="Q15" s="1">
        <f>Q13*B9</f>
        <v>54374.706795052676</v>
      </c>
      <c r="R15" s="1"/>
      <c r="S15" s="1">
        <f>S13*B9</f>
        <v>20336.140341349699</v>
      </c>
    </row>
    <row r="16" spans="1:29" x14ac:dyDescent="0.3">
      <c r="M16">
        <v>2</v>
      </c>
      <c r="N16" t="s">
        <v>15</v>
      </c>
      <c r="O16">
        <f>O15/M16</f>
        <v>111197.51482807625</v>
      </c>
      <c r="Q16">
        <f>Q15/M16</f>
        <v>27187.353397526338</v>
      </c>
      <c r="S16">
        <f>S15/M16</f>
        <v>10168.07017067485</v>
      </c>
    </row>
    <row r="17" spans="2:19" x14ac:dyDescent="0.3">
      <c r="L17" s="2" t="s">
        <v>175</v>
      </c>
      <c r="M17" s="2">
        <v>0.3</v>
      </c>
      <c r="N17" s="2" t="s">
        <v>16</v>
      </c>
      <c r="O17" s="2">
        <f>O16*M17</f>
        <v>33359.254448422871</v>
      </c>
      <c r="P17" s="2"/>
      <c r="Q17" s="2">
        <f>Q16*M17</f>
        <v>8156.2060192579011</v>
      </c>
      <c r="R17" s="2"/>
      <c r="S17" s="2">
        <f>S16*M17</f>
        <v>3050.4210512024547</v>
      </c>
    </row>
    <row r="18" spans="2:19" x14ac:dyDescent="0.3">
      <c r="L18" s="3" t="s">
        <v>175</v>
      </c>
      <c r="M18" s="3">
        <v>1</v>
      </c>
      <c r="N18" s="3" t="s">
        <v>17</v>
      </c>
      <c r="O18" s="3">
        <f>O16</f>
        <v>111197.51482807625</v>
      </c>
      <c r="P18" s="3"/>
      <c r="Q18" s="3">
        <f>Q16</f>
        <v>27187.353397526338</v>
      </c>
      <c r="R18" s="3"/>
      <c r="S18" s="3">
        <f>S16</f>
        <v>10168.07017067485</v>
      </c>
    </row>
    <row r="20" spans="2:19" x14ac:dyDescent="0.3">
      <c r="L20" t="s">
        <v>5</v>
      </c>
    </row>
    <row r="21" spans="2:19" x14ac:dyDescent="0.3">
      <c r="L21" t="s">
        <v>175</v>
      </c>
      <c r="O21" s="1">
        <f>SUM(O17:O20)</f>
        <v>144556.76927649911</v>
      </c>
      <c r="P21" s="1"/>
      <c r="Q21" s="1">
        <f>SUM(Q17:Q20)</f>
        <v>35343.559416784236</v>
      </c>
      <c r="R21" s="1"/>
      <c r="S21" s="1">
        <f>SUM(S17:S20)</f>
        <v>13218.491221877304</v>
      </c>
    </row>
    <row r="23" spans="2:19" x14ac:dyDescent="0.3">
      <c r="O23">
        <v>2.7799378707019065</v>
      </c>
      <c r="Q23">
        <v>0.67968383493815843</v>
      </c>
      <c r="S23">
        <v>0.25420175426687125</v>
      </c>
    </row>
    <row r="24" spans="2:19" x14ac:dyDescent="0.3">
      <c r="F24" t="s">
        <v>32</v>
      </c>
      <c r="O24" t="s">
        <v>0</v>
      </c>
      <c r="Q24" t="s">
        <v>1</v>
      </c>
      <c r="S24" t="s">
        <v>2</v>
      </c>
    </row>
    <row r="25" spans="2:19" x14ac:dyDescent="0.3">
      <c r="N25" s="1" t="s">
        <v>30</v>
      </c>
      <c r="O25" s="1">
        <f>O23*B11</f>
        <v>928.49924881443678</v>
      </c>
      <c r="P25" s="1"/>
      <c r="Q25" s="1">
        <f>Q23*B11</f>
        <v>227.01440086934491</v>
      </c>
      <c r="R25" s="1"/>
      <c r="S25" s="1">
        <f>S23*B11</f>
        <v>84.903385925134998</v>
      </c>
    </row>
    <row r="26" spans="2:19" x14ac:dyDescent="0.3">
      <c r="B26" s="1"/>
      <c r="M26">
        <v>2</v>
      </c>
      <c r="N26" t="s">
        <v>15</v>
      </c>
      <c r="O26">
        <f>O25/M26</f>
        <v>464.24962440721839</v>
      </c>
      <c r="Q26">
        <f>Q25/M26</f>
        <v>113.50720043467246</v>
      </c>
      <c r="S26">
        <f>S25/M26</f>
        <v>42.451692962567499</v>
      </c>
    </row>
    <row r="27" spans="2:19" x14ac:dyDescent="0.3">
      <c r="L27" s="2" t="s">
        <v>175</v>
      </c>
      <c r="M27" s="2">
        <v>0.57999999999999996</v>
      </c>
      <c r="N27" s="2" t="s">
        <v>16</v>
      </c>
      <c r="O27" s="2">
        <f>O26*M27</f>
        <v>269.26478215618664</v>
      </c>
      <c r="P27" s="2"/>
      <c r="Q27" s="2">
        <f>Q26*M27</f>
        <v>65.834176252110026</v>
      </c>
      <c r="R27" s="2"/>
      <c r="S27" s="2">
        <f>S26*M27</f>
        <v>24.621981918289148</v>
      </c>
    </row>
    <row r="28" spans="2:19" x14ac:dyDescent="0.3">
      <c r="L28" s="3" t="s">
        <v>175</v>
      </c>
      <c r="M28" s="3">
        <v>0.16</v>
      </c>
      <c r="N28" s="3" t="s">
        <v>17</v>
      </c>
      <c r="O28" s="3">
        <f>O26*M28</f>
        <v>74.279939905154947</v>
      </c>
      <c r="P28" s="3"/>
      <c r="Q28" s="3">
        <f>Q26*M28</f>
        <v>18.161152069547594</v>
      </c>
      <c r="R28" s="3"/>
      <c r="S28" s="3">
        <f>S26*M28</f>
        <v>6.7922708740108</v>
      </c>
    </row>
    <row r="29" spans="2:19" x14ac:dyDescent="0.3">
      <c r="B29" s="6"/>
      <c r="C29" s="7"/>
      <c r="D29" s="7"/>
      <c r="E29" s="7"/>
      <c r="F29" s="8"/>
      <c r="G29" s="8"/>
      <c r="H29" s="8"/>
      <c r="I29" s="8"/>
      <c r="J29" s="9"/>
    </row>
    <row r="30" spans="2:19" x14ac:dyDescent="0.3">
      <c r="B30" s="10" t="s">
        <v>182</v>
      </c>
      <c r="C30" s="11"/>
      <c r="D30" s="11"/>
      <c r="E30" s="11"/>
      <c r="F30" s="11"/>
      <c r="G30" s="11"/>
      <c r="H30" s="11"/>
      <c r="I30" s="11"/>
      <c r="J30" s="12"/>
      <c r="L30" t="s">
        <v>5</v>
      </c>
    </row>
    <row r="31" spans="2:19" x14ac:dyDescent="0.3">
      <c r="B31" s="13"/>
      <c r="C31" s="11"/>
      <c r="D31" s="11" t="s">
        <v>5</v>
      </c>
      <c r="E31" s="11"/>
      <c r="F31" s="11" t="s">
        <v>12</v>
      </c>
      <c r="G31" s="11"/>
      <c r="H31" s="11" t="s">
        <v>13</v>
      </c>
      <c r="I31" s="11"/>
      <c r="J31" s="12" t="s">
        <v>14</v>
      </c>
      <c r="L31" t="s">
        <v>175</v>
      </c>
      <c r="O31" s="1">
        <f>SUM(O27:O30)</f>
        <v>343.54472206134159</v>
      </c>
      <c r="P31" s="1"/>
      <c r="Q31" s="1">
        <f>SUM(Q27:Q30)</f>
        <v>83.995328321657624</v>
      </c>
      <c r="R31" s="1"/>
      <c r="S31" s="1">
        <f>SUM(S27:S30)</f>
        <v>31.414252792299948</v>
      </c>
    </row>
    <row r="32" spans="2:19" x14ac:dyDescent="0.3">
      <c r="B32" s="13"/>
      <c r="C32" s="11"/>
      <c r="D32" s="11"/>
      <c r="E32" s="11"/>
      <c r="F32" s="14"/>
      <c r="G32" s="14"/>
      <c r="H32" s="14"/>
      <c r="I32" s="14"/>
      <c r="J32" s="15"/>
    </row>
    <row r="33" spans="2:10" x14ac:dyDescent="0.3">
      <c r="B33" s="13"/>
      <c r="C33" s="11"/>
      <c r="D33" s="11" t="s">
        <v>6</v>
      </c>
      <c r="E33" s="11"/>
      <c r="F33" s="14">
        <f>O5+O15+O25</f>
        <v>266575.09814568522</v>
      </c>
      <c r="G33" s="14"/>
      <c r="H33" s="14">
        <f>Q5+Q15+Q25</f>
        <v>62481.58444806117</v>
      </c>
      <c r="I33" s="14"/>
      <c r="J33" s="15">
        <f>S5+S15+S25</f>
        <v>24962.458497550258</v>
      </c>
    </row>
    <row r="34" spans="2:10" x14ac:dyDescent="0.3">
      <c r="B34" s="13"/>
      <c r="C34" s="11"/>
      <c r="D34" s="11"/>
      <c r="E34" s="11"/>
      <c r="F34" s="11"/>
      <c r="G34" s="11"/>
      <c r="H34" s="11"/>
      <c r="I34" s="11"/>
      <c r="J34" s="12"/>
    </row>
    <row r="35" spans="2:10" x14ac:dyDescent="0.3">
      <c r="B35" s="13"/>
      <c r="C35" s="11"/>
      <c r="D35" s="11"/>
      <c r="E35" s="11"/>
      <c r="F35" s="11"/>
      <c r="G35" s="11"/>
      <c r="H35" s="11"/>
      <c r="I35" s="11"/>
      <c r="J35" s="12"/>
    </row>
    <row r="36" spans="2:10" x14ac:dyDescent="0.3">
      <c r="B36" s="13"/>
      <c r="C36" s="11"/>
      <c r="D36" s="11" t="s">
        <v>175</v>
      </c>
      <c r="E36" s="11"/>
      <c r="F36" s="14">
        <f>O11+O21+O31</f>
        <v>173013.83400502734</v>
      </c>
      <c r="G36" s="14"/>
      <c r="H36" s="14">
        <f>Q11+Q21+Q31</f>
        <v>40549.465858996344</v>
      </c>
      <c r="I36" s="14"/>
      <c r="J36" s="15">
        <f>S11+S21+S31</f>
        <v>16201.825075348628</v>
      </c>
    </row>
    <row r="37" spans="2:10" x14ac:dyDescent="0.3">
      <c r="B37" s="16"/>
      <c r="C37" s="17"/>
      <c r="D37" s="17"/>
      <c r="E37" s="17"/>
      <c r="F37" s="17"/>
      <c r="G37" s="17"/>
      <c r="H37" s="17"/>
      <c r="I37" s="17"/>
      <c r="J37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DAAD-0447-4BA9-A349-6CBDA6C2E536}">
  <dimension ref="A1:S25"/>
  <sheetViews>
    <sheetView workbookViewId="0">
      <selection activeCell="O16" sqref="O16:S16"/>
    </sheetView>
  </sheetViews>
  <sheetFormatPr defaultRowHeight="14.4" x14ac:dyDescent="0.3"/>
  <cols>
    <col min="1" max="1" width="14.88671875" customWidth="1"/>
    <col min="3" max="3" width="6.88671875" customWidth="1"/>
    <col min="4" max="4" width="14.33203125" customWidth="1"/>
    <col min="14" max="14" width="12.6640625" customWidth="1"/>
  </cols>
  <sheetData>
    <row r="1" spans="1:19" x14ac:dyDescent="0.3">
      <c r="E1" s="1" t="s">
        <v>52</v>
      </c>
      <c r="N1" s="1" t="s">
        <v>53</v>
      </c>
    </row>
    <row r="2" spans="1:19" x14ac:dyDescent="0.3">
      <c r="J2" s="24"/>
    </row>
    <row r="3" spans="1:19" x14ac:dyDescent="0.3">
      <c r="E3" t="s">
        <v>34</v>
      </c>
      <c r="G3" t="s">
        <v>35</v>
      </c>
      <c r="I3" t="s">
        <v>36</v>
      </c>
      <c r="J3" s="24"/>
    </row>
    <row r="4" spans="1:19" x14ac:dyDescent="0.3">
      <c r="B4" s="1" t="s">
        <v>33</v>
      </c>
      <c r="E4">
        <v>3000000</v>
      </c>
      <c r="F4" t="s">
        <v>21</v>
      </c>
      <c r="G4">
        <v>2880000</v>
      </c>
      <c r="H4" t="s">
        <v>21</v>
      </c>
      <c r="I4">
        <f>E4+G4</f>
        <v>5880000</v>
      </c>
      <c r="J4" s="24" t="s">
        <v>21</v>
      </c>
    </row>
    <row r="5" spans="1:19" x14ac:dyDescent="0.3">
      <c r="J5" s="24"/>
    </row>
    <row r="6" spans="1:19" x14ac:dyDescent="0.3">
      <c r="A6" t="s">
        <v>37</v>
      </c>
      <c r="E6">
        <v>3.2203561899927843E-3</v>
      </c>
      <c r="G6">
        <v>1.5231414412128033E-3</v>
      </c>
      <c r="I6">
        <v>2.3064713252651022E-4</v>
      </c>
      <c r="J6" s="24"/>
    </row>
    <row r="7" spans="1:19" x14ac:dyDescent="0.3">
      <c r="A7">
        <v>4.75</v>
      </c>
      <c r="B7" t="s">
        <v>38</v>
      </c>
      <c r="E7" t="s">
        <v>0</v>
      </c>
      <c r="G7" t="s">
        <v>1</v>
      </c>
      <c r="I7" t="s">
        <v>2</v>
      </c>
      <c r="J7" s="24"/>
    </row>
    <row r="8" spans="1:19" x14ac:dyDescent="0.3">
      <c r="D8" t="s">
        <v>30</v>
      </c>
      <c r="E8">
        <f>E6*I4</f>
        <v>18935.694397157571</v>
      </c>
      <c r="G8">
        <f>G6*I4</f>
        <v>8956.0716743312823</v>
      </c>
      <c r="I8">
        <f>I4*I6</f>
        <v>1356.2051392558801</v>
      </c>
      <c r="J8" s="24"/>
    </row>
    <row r="9" spans="1:19" x14ac:dyDescent="0.3">
      <c r="A9" t="s">
        <v>39</v>
      </c>
      <c r="B9" s="66"/>
      <c r="C9">
        <v>2</v>
      </c>
      <c r="D9" t="s">
        <v>15</v>
      </c>
      <c r="E9">
        <f>E8/C9</f>
        <v>9467.8471985787855</v>
      </c>
      <c r="G9">
        <f>G8/C9</f>
        <v>4478.0358371656412</v>
      </c>
      <c r="I9">
        <f>I8/C9</f>
        <v>678.10256962794006</v>
      </c>
      <c r="J9" s="24"/>
    </row>
    <row r="10" spans="1:19" x14ac:dyDescent="0.3">
      <c r="A10">
        <v>3.9</v>
      </c>
      <c r="B10" s="68" t="s">
        <v>175</v>
      </c>
      <c r="C10" s="2">
        <v>0.3</v>
      </c>
      <c r="D10" s="2" t="s">
        <v>40</v>
      </c>
      <c r="E10" s="2">
        <f>E9*C10</f>
        <v>2840.3541595736356</v>
      </c>
      <c r="F10" s="2"/>
      <c r="G10" s="2">
        <f>G9*C10</f>
        <v>1343.4107511496923</v>
      </c>
      <c r="H10" s="2"/>
      <c r="I10" s="2">
        <f>I9*C10</f>
        <v>203.430770888382</v>
      </c>
      <c r="J10" s="24"/>
      <c r="M10" s="1" t="str">
        <f>B4</f>
        <v>Loading in pits</v>
      </c>
    </row>
    <row r="11" spans="1:19" x14ac:dyDescent="0.3">
      <c r="B11" s="67" t="s">
        <v>175</v>
      </c>
      <c r="C11" s="3">
        <v>1</v>
      </c>
      <c r="D11" s="3" t="s">
        <v>41</v>
      </c>
      <c r="E11" s="3">
        <f>E9</f>
        <v>9467.8471985787855</v>
      </c>
      <c r="F11" s="3"/>
      <c r="G11" s="3">
        <f>G9</f>
        <v>4478.0358371656412</v>
      </c>
      <c r="H11" s="3"/>
      <c r="I11" s="3">
        <f>I9</f>
        <v>678.10256962794006</v>
      </c>
      <c r="J11" s="24"/>
    </row>
    <row r="12" spans="1:19" x14ac:dyDescent="0.3">
      <c r="J12" s="24"/>
      <c r="M12" s="6"/>
      <c r="N12" s="7"/>
      <c r="O12" s="7">
        <v>3.2203561899927843E-3</v>
      </c>
      <c r="P12" s="7"/>
      <c r="Q12" s="7">
        <v>1.5231414412128033E-3</v>
      </c>
      <c r="R12" s="7"/>
      <c r="S12" s="19">
        <v>2.3064713252651022E-4</v>
      </c>
    </row>
    <row r="13" spans="1:19" x14ac:dyDescent="0.3">
      <c r="D13" s="6" t="s">
        <v>42</v>
      </c>
      <c r="E13" s="7" t="s">
        <v>12</v>
      </c>
      <c r="F13" s="7"/>
      <c r="G13" s="7" t="s">
        <v>13</v>
      </c>
      <c r="H13" s="7"/>
      <c r="I13" s="19" t="s">
        <v>14</v>
      </c>
      <c r="J13" s="24"/>
      <c r="M13" s="13"/>
      <c r="N13" s="11" t="s">
        <v>5</v>
      </c>
      <c r="O13" s="11" t="s">
        <v>12</v>
      </c>
      <c r="P13" s="11"/>
      <c r="Q13" s="11" t="s">
        <v>13</v>
      </c>
      <c r="R13" s="11"/>
      <c r="S13" s="12" t="s">
        <v>14</v>
      </c>
    </row>
    <row r="14" spans="1:19" x14ac:dyDescent="0.3">
      <c r="D14" s="13" t="s">
        <v>6</v>
      </c>
      <c r="E14" s="14">
        <f>E8</f>
        <v>18935.694397157571</v>
      </c>
      <c r="F14" s="14"/>
      <c r="G14" s="14">
        <f>G8</f>
        <v>8956.0716743312823</v>
      </c>
      <c r="H14" s="14"/>
      <c r="I14" s="15">
        <f>I8</f>
        <v>1356.2051392558801</v>
      </c>
      <c r="J14" s="24"/>
      <c r="M14" s="13"/>
      <c r="N14" s="11" t="s">
        <v>30</v>
      </c>
      <c r="O14" s="14">
        <v>18935.694397157571</v>
      </c>
      <c r="P14" s="14"/>
      <c r="Q14" s="14">
        <v>8956.0716743312823</v>
      </c>
      <c r="R14" s="14"/>
      <c r="S14" s="15">
        <v>1356.2051392558801</v>
      </c>
    </row>
    <row r="15" spans="1:19" x14ac:dyDescent="0.3">
      <c r="D15" s="13"/>
      <c r="E15" s="11"/>
      <c r="F15" s="11"/>
      <c r="G15" s="11"/>
      <c r="H15" s="11"/>
      <c r="I15" s="12"/>
      <c r="J15" s="24"/>
      <c r="M15" s="13"/>
      <c r="N15" s="11"/>
      <c r="O15" s="11"/>
      <c r="P15" s="11"/>
      <c r="Q15" s="11"/>
      <c r="R15" s="11"/>
      <c r="S15" s="12"/>
    </row>
    <row r="16" spans="1:19" x14ac:dyDescent="0.3">
      <c r="D16" s="16" t="s">
        <v>175</v>
      </c>
      <c r="E16" s="20">
        <f>E10+E11</f>
        <v>12308.201358152421</v>
      </c>
      <c r="F16" s="20"/>
      <c r="G16" s="20">
        <f>G10+G11</f>
        <v>5821.4465883153334</v>
      </c>
      <c r="H16" s="20"/>
      <c r="I16" s="21">
        <f>I10+I11</f>
        <v>881.53334051632203</v>
      </c>
      <c r="J16" s="24"/>
      <c r="M16" s="16">
        <v>0.3</v>
      </c>
      <c r="N16" s="17" t="s">
        <v>175</v>
      </c>
      <c r="O16" s="20">
        <f>O14*M16</f>
        <v>5680.7083191472711</v>
      </c>
      <c r="P16" s="20"/>
      <c r="Q16" s="20">
        <f>Q14*M16</f>
        <v>2686.8215022993845</v>
      </c>
      <c r="R16" s="20"/>
      <c r="S16" s="21">
        <f>S14*M16</f>
        <v>406.861541776764</v>
      </c>
    </row>
    <row r="17" spans="10:10" x14ac:dyDescent="0.3">
      <c r="J17" s="24"/>
    </row>
    <row r="18" spans="10:10" x14ac:dyDescent="0.3">
      <c r="J18" s="24"/>
    </row>
    <row r="19" spans="10:10" x14ac:dyDescent="0.3">
      <c r="J19" s="24"/>
    </row>
    <row r="20" spans="10:10" x14ac:dyDescent="0.3">
      <c r="J20" s="24"/>
    </row>
    <row r="21" spans="10:10" x14ac:dyDescent="0.3">
      <c r="J21" s="24"/>
    </row>
    <row r="22" spans="10:10" x14ac:dyDescent="0.3">
      <c r="J22" s="24"/>
    </row>
    <row r="23" spans="10:10" x14ac:dyDescent="0.3">
      <c r="J23" s="24"/>
    </row>
    <row r="24" spans="10:10" x14ac:dyDescent="0.3">
      <c r="J24" s="24"/>
    </row>
    <row r="25" spans="10:10" x14ac:dyDescent="0.3">
      <c r="J25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2588-F456-474C-A0BD-DBB7497104E5}">
  <dimension ref="A1:V45"/>
  <sheetViews>
    <sheetView topLeftCell="A25" workbookViewId="0">
      <selection activeCell="R42" sqref="R42:V42"/>
    </sheetView>
  </sheetViews>
  <sheetFormatPr defaultRowHeight="14.4" x14ac:dyDescent="0.3"/>
  <cols>
    <col min="1" max="1" width="11.77734375" customWidth="1"/>
    <col min="7" max="7" width="14.33203125" customWidth="1"/>
    <col min="16" max="16" width="5.6640625" customWidth="1"/>
    <col min="17" max="17" width="11.88671875" customWidth="1"/>
  </cols>
  <sheetData>
    <row r="1" spans="1:22" x14ac:dyDescent="0.3">
      <c r="H1" s="1" t="s">
        <v>52</v>
      </c>
      <c r="M1" s="24"/>
      <c r="Q1" s="1" t="s">
        <v>53</v>
      </c>
    </row>
    <row r="2" spans="1:22" x14ac:dyDescent="0.3">
      <c r="A2" t="s">
        <v>45</v>
      </c>
      <c r="B2" s="1" t="s">
        <v>44</v>
      </c>
      <c r="M2" s="24"/>
    </row>
    <row r="3" spans="1:22" x14ac:dyDescent="0.3">
      <c r="A3">
        <v>2880000</v>
      </c>
      <c r="B3" t="s">
        <v>21</v>
      </c>
      <c r="M3" s="24"/>
      <c r="P3" s="1" t="s">
        <v>55</v>
      </c>
    </row>
    <row r="4" spans="1:22" x14ac:dyDescent="0.3">
      <c r="H4">
        <v>3.2203561899927843E-3</v>
      </c>
      <c r="J4">
        <v>1.5231414412128033E-3</v>
      </c>
      <c r="L4">
        <v>2.3064713252651022E-4</v>
      </c>
      <c r="M4" s="24"/>
    </row>
    <row r="5" spans="1:22" x14ac:dyDescent="0.3">
      <c r="B5" t="s">
        <v>46</v>
      </c>
      <c r="H5" t="s">
        <v>0</v>
      </c>
      <c r="J5" t="s">
        <v>1</v>
      </c>
      <c r="L5" t="s">
        <v>2</v>
      </c>
      <c r="M5" s="24"/>
    </row>
    <row r="6" spans="1:22" x14ac:dyDescent="0.3">
      <c r="G6" t="s">
        <v>30</v>
      </c>
      <c r="H6">
        <f>H4*A3</f>
        <v>9274.6258271792194</v>
      </c>
      <c r="J6">
        <f>J4*A3</f>
        <v>4386.6473506928733</v>
      </c>
      <c r="L6">
        <f>L4*A3</f>
        <v>664.26374167634947</v>
      </c>
      <c r="M6" s="24"/>
    </row>
    <row r="7" spans="1:22" x14ac:dyDescent="0.3">
      <c r="F7">
        <v>2</v>
      </c>
      <c r="G7" t="s">
        <v>15</v>
      </c>
      <c r="H7">
        <f>H6/F7</f>
        <v>4637.3129135896097</v>
      </c>
      <c r="J7">
        <f>J6/F7</f>
        <v>2193.3236753464366</v>
      </c>
      <c r="L7">
        <f>L6/F7</f>
        <v>332.13187083817473</v>
      </c>
      <c r="M7" s="24"/>
    </row>
    <row r="8" spans="1:22" x14ac:dyDescent="0.3">
      <c r="E8" s="2" t="s">
        <v>175</v>
      </c>
      <c r="F8" s="2">
        <v>0.3</v>
      </c>
      <c r="G8" s="2" t="s">
        <v>40</v>
      </c>
      <c r="H8" s="2">
        <f>H7*F8</f>
        <v>1391.1938740768828</v>
      </c>
      <c r="I8" s="2"/>
      <c r="J8" s="2">
        <f>F8*J7</f>
        <v>657.99710260393101</v>
      </c>
      <c r="K8" s="2"/>
      <c r="L8" s="2">
        <f>L7*F8</f>
        <v>99.63956125145242</v>
      </c>
      <c r="M8" s="24"/>
    </row>
    <row r="9" spans="1:22" x14ac:dyDescent="0.3">
      <c r="E9" s="3" t="s">
        <v>175</v>
      </c>
      <c r="F9" s="3">
        <v>1</v>
      </c>
      <c r="G9" s="3" t="s">
        <v>41</v>
      </c>
      <c r="H9" s="3">
        <f>H7</f>
        <v>4637.3129135896097</v>
      </c>
      <c r="I9" s="3"/>
      <c r="J9" s="3">
        <f>J7</f>
        <v>2193.3236753464366</v>
      </c>
      <c r="K9" s="3"/>
      <c r="L9" s="3">
        <f>L7</f>
        <v>332.13187083817473</v>
      </c>
      <c r="M9" s="24"/>
      <c r="P9" s="6"/>
      <c r="Q9" s="7"/>
      <c r="R9" s="7">
        <v>3.2203561899927843E-3</v>
      </c>
      <c r="S9" s="7"/>
      <c r="T9" s="7">
        <v>1.5231414412128033E-3</v>
      </c>
      <c r="U9" s="7"/>
      <c r="V9" s="19">
        <v>2.3064713252651022E-4</v>
      </c>
    </row>
    <row r="10" spans="1:22" x14ac:dyDescent="0.3">
      <c r="M10" s="24"/>
      <c r="P10" s="13"/>
      <c r="Q10" s="11"/>
      <c r="R10" s="11" t="s">
        <v>0</v>
      </c>
      <c r="S10" s="11"/>
      <c r="T10" s="11" t="s">
        <v>1</v>
      </c>
      <c r="U10" s="11"/>
      <c r="V10" s="12" t="s">
        <v>2</v>
      </c>
    </row>
    <row r="11" spans="1:22" x14ac:dyDescent="0.3">
      <c r="G11" s="22" t="s">
        <v>30</v>
      </c>
      <c r="H11" s="8">
        <v>9274.6258271792194</v>
      </c>
      <c r="I11" s="8"/>
      <c r="J11" s="8">
        <v>4386.6473506928733</v>
      </c>
      <c r="K11" s="8"/>
      <c r="L11" s="9">
        <v>664.26374167634947</v>
      </c>
      <c r="M11" s="24"/>
      <c r="P11" s="13"/>
      <c r="Q11" s="14" t="s">
        <v>30</v>
      </c>
      <c r="R11" s="14">
        <v>9274.6258271792194</v>
      </c>
      <c r="S11" s="14"/>
      <c r="T11" s="14">
        <v>4386.6473506928733</v>
      </c>
      <c r="U11" s="14"/>
      <c r="V11" s="15">
        <v>664.26374167634947</v>
      </c>
    </row>
    <row r="12" spans="1:22" x14ac:dyDescent="0.3">
      <c r="G12" s="13"/>
      <c r="H12" s="11"/>
      <c r="I12" s="11"/>
      <c r="J12" s="11"/>
      <c r="K12" s="11"/>
      <c r="L12" s="12"/>
      <c r="M12" s="24"/>
      <c r="P12" s="13"/>
      <c r="Q12" s="11"/>
      <c r="R12" s="11"/>
      <c r="S12" s="11"/>
      <c r="T12" s="11"/>
      <c r="U12" s="11"/>
      <c r="V12" s="12"/>
    </row>
    <row r="13" spans="1:22" x14ac:dyDescent="0.3">
      <c r="G13" s="23" t="s">
        <v>48</v>
      </c>
      <c r="H13" s="20">
        <f>H9+H8</f>
        <v>6028.5067876664925</v>
      </c>
      <c r="I13" s="20"/>
      <c r="J13" s="20">
        <f>J9+J8</f>
        <v>2851.3207779503678</v>
      </c>
      <c r="K13" s="20"/>
      <c r="L13" s="21">
        <f>L8+L9</f>
        <v>431.77143208962718</v>
      </c>
      <c r="M13" s="24"/>
      <c r="P13" s="16">
        <v>0.3</v>
      </c>
      <c r="Q13" s="20" t="s">
        <v>48</v>
      </c>
      <c r="R13" s="20">
        <f>P13*R11</f>
        <v>2782.3877481537656</v>
      </c>
      <c r="S13" s="20"/>
      <c r="T13" s="20">
        <f>P13*T11</f>
        <v>1315.994205207862</v>
      </c>
      <c r="U13" s="20"/>
      <c r="V13" s="21">
        <f>P13*V11</f>
        <v>199.27912250290484</v>
      </c>
    </row>
    <row r="14" spans="1:22" x14ac:dyDescent="0.3">
      <c r="M14" s="24"/>
    </row>
    <row r="15" spans="1:22" x14ac:dyDescent="0.3">
      <c r="B15" t="s">
        <v>47</v>
      </c>
      <c r="H15">
        <v>5.4064461550897889</v>
      </c>
      <c r="J15">
        <v>0.98498290651739384</v>
      </c>
      <c r="L15">
        <v>0.56767684628442783</v>
      </c>
      <c r="M15" s="24"/>
    </row>
    <row r="16" spans="1:22" x14ac:dyDescent="0.3">
      <c r="H16" t="s">
        <v>0</v>
      </c>
      <c r="J16" t="s">
        <v>1</v>
      </c>
      <c r="L16" t="s">
        <v>2</v>
      </c>
      <c r="M16" s="24"/>
    </row>
    <row r="17" spans="1:22" x14ac:dyDescent="0.3">
      <c r="A17" t="s">
        <v>20</v>
      </c>
      <c r="B17">
        <v>74</v>
      </c>
      <c r="C17" t="s">
        <v>21</v>
      </c>
      <c r="G17" s="1" t="s">
        <v>30</v>
      </c>
      <c r="H17" s="1">
        <f>H15*B19</f>
        <v>10812.892310179577</v>
      </c>
      <c r="I17" s="1"/>
      <c r="J17" s="1">
        <f>J15*B19</f>
        <v>1969.9658130347877</v>
      </c>
      <c r="K17" s="1"/>
      <c r="L17" s="1">
        <f>L15*B19</f>
        <v>1135.3536925688556</v>
      </c>
      <c r="M17" s="24"/>
      <c r="P17" s="1" t="s">
        <v>47</v>
      </c>
    </row>
    <row r="18" spans="1:22" x14ac:dyDescent="0.3">
      <c r="A18" t="s">
        <v>22</v>
      </c>
      <c r="B18">
        <v>10</v>
      </c>
      <c r="C18" t="s">
        <v>23</v>
      </c>
      <c r="F18" s="5">
        <v>2</v>
      </c>
      <c r="G18" s="5" t="s">
        <v>15</v>
      </c>
      <c r="H18" s="5">
        <f>H17/F18</f>
        <v>5406.4461550897886</v>
      </c>
      <c r="I18" s="5"/>
      <c r="J18" s="5">
        <f>J17/F18</f>
        <v>984.98290651739387</v>
      </c>
      <c r="K18" s="5"/>
      <c r="L18" s="5">
        <f>L17/F18</f>
        <v>567.67684628442782</v>
      </c>
      <c r="M18" s="24"/>
    </row>
    <row r="19" spans="1:22" x14ac:dyDescent="0.3">
      <c r="A19" t="s">
        <v>24</v>
      </c>
      <c r="B19">
        <v>2000</v>
      </c>
      <c r="C19" t="s">
        <v>25</v>
      </c>
      <c r="E19" s="2" t="s">
        <v>175</v>
      </c>
      <c r="F19" s="2">
        <v>0.3</v>
      </c>
      <c r="G19" s="2" t="s">
        <v>40</v>
      </c>
      <c r="H19" s="2">
        <f>H18*F19</f>
        <v>1621.9338465269366</v>
      </c>
      <c r="I19" s="2"/>
      <c r="J19" s="2">
        <f>J18*F19</f>
        <v>295.49487195521817</v>
      </c>
      <c r="K19" s="2"/>
      <c r="L19" s="2">
        <f>L18*F19</f>
        <v>170.30305388532835</v>
      </c>
      <c r="M19" s="24"/>
    </row>
    <row r="20" spans="1:22" x14ac:dyDescent="0.3">
      <c r="A20" t="s">
        <v>29</v>
      </c>
      <c r="B20">
        <v>20000</v>
      </c>
      <c r="C20" t="s">
        <v>28</v>
      </c>
      <c r="E20" s="3" t="s">
        <v>175</v>
      </c>
      <c r="F20" s="3">
        <v>1</v>
      </c>
      <c r="G20" s="3" t="s">
        <v>41</v>
      </c>
      <c r="H20" s="3">
        <f>H18</f>
        <v>5406.4461550897886</v>
      </c>
      <c r="I20" s="3"/>
      <c r="J20" s="3">
        <f>J18</f>
        <v>984.98290651739387</v>
      </c>
      <c r="K20" s="3"/>
      <c r="L20" s="3">
        <f>L18</f>
        <v>567.67684628442782</v>
      </c>
      <c r="M20" s="24"/>
      <c r="P20" s="6"/>
      <c r="Q20" s="7"/>
      <c r="R20" s="7">
        <v>5.4064461550897889</v>
      </c>
      <c r="S20" s="7"/>
      <c r="T20" s="7">
        <v>0.98498290651739384</v>
      </c>
      <c r="U20" s="7"/>
      <c r="V20" s="19">
        <v>0.56767684628442783</v>
      </c>
    </row>
    <row r="21" spans="1:22" x14ac:dyDescent="0.3">
      <c r="M21" s="24"/>
      <c r="P21" s="13"/>
      <c r="Q21" s="11"/>
      <c r="R21" s="11" t="s">
        <v>0</v>
      </c>
      <c r="S21" s="11"/>
      <c r="T21" s="11" t="s">
        <v>1</v>
      </c>
      <c r="U21" s="11"/>
      <c r="V21" s="12" t="s">
        <v>2</v>
      </c>
    </row>
    <row r="22" spans="1:22" x14ac:dyDescent="0.3">
      <c r="G22" s="22" t="s">
        <v>30</v>
      </c>
      <c r="H22" s="8">
        <v>10812.892310179577</v>
      </c>
      <c r="I22" s="8"/>
      <c r="J22" s="8">
        <v>1969.9658130347877</v>
      </c>
      <c r="K22" s="8"/>
      <c r="L22" s="9">
        <v>1135.3536925688556</v>
      </c>
      <c r="M22" s="24"/>
      <c r="P22" s="13"/>
      <c r="Q22" s="14" t="s">
        <v>30</v>
      </c>
      <c r="R22" s="14">
        <v>10812.892310179577</v>
      </c>
      <c r="S22" s="14"/>
      <c r="T22" s="14">
        <v>1969.9658130347877</v>
      </c>
      <c r="U22" s="14"/>
      <c r="V22" s="15">
        <v>1135.3536925688556</v>
      </c>
    </row>
    <row r="23" spans="1:22" x14ac:dyDescent="0.3">
      <c r="G23" s="13"/>
      <c r="H23" s="11"/>
      <c r="I23" s="11"/>
      <c r="J23" s="11"/>
      <c r="K23" s="11"/>
      <c r="L23" s="12"/>
      <c r="M23" s="24"/>
      <c r="P23" s="13"/>
      <c r="Q23" s="11"/>
      <c r="R23" s="11"/>
      <c r="S23" s="11"/>
      <c r="T23" s="11"/>
      <c r="U23" s="11"/>
      <c r="V23" s="12"/>
    </row>
    <row r="24" spans="1:22" x14ac:dyDescent="0.3">
      <c r="G24" s="23" t="s">
        <v>175</v>
      </c>
      <c r="H24" s="20">
        <f>H19+H20</f>
        <v>7028.3800016167252</v>
      </c>
      <c r="I24" s="20"/>
      <c r="J24" s="20">
        <f>J19+J20</f>
        <v>1280.477778472612</v>
      </c>
      <c r="K24" s="20"/>
      <c r="L24" s="21">
        <f>L19+L20</f>
        <v>737.97990016975621</v>
      </c>
      <c r="M24" s="24"/>
      <c r="P24" s="16">
        <v>0.3</v>
      </c>
      <c r="Q24" s="20" t="s">
        <v>175</v>
      </c>
      <c r="R24" s="20">
        <f>R22*P24</f>
        <v>3243.8676930538732</v>
      </c>
      <c r="S24" s="20"/>
      <c r="T24" s="20">
        <f>T22*P24</f>
        <v>590.98974391043635</v>
      </c>
      <c r="U24" s="20"/>
      <c r="V24" s="21">
        <f>V22*P24</f>
        <v>340.60610777065671</v>
      </c>
    </row>
    <row r="25" spans="1:22" x14ac:dyDescent="0.3">
      <c r="M25" s="24"/>
    </row>
    <row r="26" spans="1:22" x14ac:dyDescent="0.3">
      <c r="H26">
        <v>2.7799378707019065</v>
      </c>
      <c r="J26">
        <v>0.67968383493815843</v>
      </c>
      <c r="L26">
        <v>0.25420175426687125</v>
      </c>
      <c r="M26" s="24"/>
    </row>
    <row r="27" spans="1:22" x14ac:dyDescent="0.3">
      <c r="A27" t="s">
        <v>49</v>
      </c>
      <c r="H27" t="s">
        <v>0</v>
      </c>
      <c r="J27" t="s">
        <v>1</v>
      </c>
      <c r="L27" t="s">
        <v>2</v>
      </c>
      <c r="M27" s="24"/>
    </row>
    <row r="28" spans="1:22" x14ac:dyDescent="0.3">
      <c r="G28" s="1" t="s">
        <v>30</v>
      </c>
      <c r="H28" s="1">
        <f>B20*H26</f>
        <v>55598.757414038126</v>
      </c>
      <c r="I28" s="1"/>
      <c r="J28" s="1">
        <f>J26*B20</f>
        <v>13593.676698763169</v>
      </c>
      <c r="K28" s="1"/>
      <c r="L28" s="1">
        <f>L26*B20</f>
        <v>5084.0350853374248</v>
      </c>
      <c r="M28" s="24"/>
    </row>
    <row r="29" spans="1:22" x14ac:dyDescent="0.3">
      <c r="F29">
        <v>2</v>
      </c>
      <c r="G29" t="s">
        <v>15</v>
      </c>
      <c r="H29">
        <f>H28/F29</f>
        <v>27799.378707019063</v>
      </c>
      <c r="J29">
        <f>J28/F29</f>
        <v>6796.8383493815845</v>
      </c>
      <c r="L29">
        <f>L28/F29</f>
        <v>2542.0175426687124</v>
      </c>
      <c r="M29" s="24"/>
    </row>
    <row r="30" spans="1:22" x14ac:dyDescent="0.3">
      <c r="E30" s="2" t="s">
        <v>175</v>
      </c>
      <c r="F30" s="2">
        <v>0.3</v>
      </c>
      <c r="G30" s="2" t="s">
        <v>40</v>
      </c>
      <c r="H30" s="2">
        <f>H29*F30</f>
        <v>8339.8136121057178</v>
      </c>
      <c r="I30" s="2"/>
      <c r="J30" s="2">
        <f>J29*F30</f>
        <v>2039.0515048144753</v>
      </c>
      <c r="K30" s="2"/>
      <c r="L30" s="2">
        <f>L29*F30</f>
        <v>762.60526280061367</v>
      </c>
      <c r="M30" s="24"/>
    </row>
    <row r="31" spans="1:22" x14ac:dyDescent="0.3">
      <c r="E31" s="3" t="s">
        <v>175</v>
      </c>
      <c r="F31" s="3">
        <v>1</v>
      </c>
      <c r="G31" s="3" t="s">
        <v>41</v>
      </c>
      <c r="H31" s="3">
        <f>H29</f>
        <v>27799.378707019063</v>
      </c>
      <c r="I31" s="3"/>
      <c r="J31" s="3">
        <f>J29</f>
        <v>6796.8383493815845</v>
      </c>
      <c r="K31" s="3"/>
      <c r="L31" s="3">
        <f>L29</f>
        <v>2542.0175426687124</v>
      </c>
      <c r="M31" s="24"/>
    </row>
    <row r="32" spans="1:22" x14ac:dyDescent="0.3">
      <c r="M32" s="24"/>
    </row>
    <row r="33" spans="7:22" x14ac:dyDescent="0.3">
      <c r="M33" s="24"/>
    </row>
    <row r="34" spans="7:22" x14ac:dyDescent="0.3">
      <c r="G34" s="22" t="s">
        <v>30</v>
      </c>
      <c r="H34" s="8">
        <v>55598.757414038126</v>
      </c>
      <c r="I34" s="8"/>
      <c r="J34" s="8">
        <v>13593.676698763169</v>
      </c>
      <c r="K34" s="8"/>
      <c r="L34" s="9">
        <v>5084.0350853374248</v>
      </c>
      <c r="M34" s="24"/>
    </row>
    <row r="35" spans="7:22" x14ac:dyDescent="0.3">
      <c r="G35" s="10"/>
      <c r="H35" s="14"/>
      <c r="I35" s="14"/>
      <c r="J35" s="14"/>
      <c r="K35" s="14"/>
      <c r="L35" s="15"/>
      <c r="M35" s="24"/>
    </row>
    <row r="36" spans="7:22" x14ac:dyDescent="0.3">
      <c r="G36" s="23" t="s">
        <v>175</v>
      </c>
      <c r="H36" s="20">
        <f>H30+H31</f>
        <v>36139.192319124777</v>
      </c>
      <c r="I36" s="20"/>
      <c r="J36" s="20">
        <f>J30+J31</f>
        <v>8835.8898541960589</v>
      </c>
      <c r="K36" s="20"/>
      <c r="L36" s="21">
        <f>L30+L31</f>
        <v>3304.6228054693261</v>
      </c>
      <c r="M36" s="24"/>
    </row>
    <row r="37" spans="7:22" x14ac:dyDescent="0.3">
      <c r="M37" s="24"/>
    </row>
    <row r="38" spans="7:22" x14ac:dyDescent="0.3">
      <c r="G38" s="22" t="s">
        <v>50</v>
      </c>
      <c r="H38" s="7"/>
      <c r="I38" s="7"/>
      <c r="J38" s="7"/>
      <c r="K38" s="7"/>
      <c r="L38" s="19"/>
      <c r="M38" s="24"/>
      <c r="Q38" s="22" t="s">
        <v>50</v>
      </c>
      <c r="R38" s="7"/>
      <c r="S38" s="7"/>
      <c r="T38" s="7"/>
      <c r="U38" s="7"/>
      <c r="V38" s="19"/>
    </row>
    <row r="39" spans="7:22" x14ac:dyDescent="0.3">
      <c r="G39" s="13" t="s">
        <v>5</v>
      </c>
      <c r="H39" s="11" t="s">
        <v>12</v>
      </c>
      <c r="I39" s="11"/>
      <c r="J39" s="11" t="s">
        <v>13</v>
      </c>
      <c r="K39" s="11"/>
      <c r="L39" s="12" t="s">
        <v>14</v>
      </c>
      <c r="M39" s="24"/>
      <c r="Q39" s="13" t="s">
        <v>5</v>
      </c>
      <c r="R39" s="11" t="s">
        <v>12</v>
      </c>
      <c r="S39" s="11"/>
      <c r="T39" s="11" t="s">
        <v>13</v>
      </c>
      <c r="U39" s="11"/>
      <c r="V39" s="12" t="s">
        <v>14</v>
      </c>
    </row>
    <row r="40" spans="7:22" x14ac:dyDescent="0.3">
      <c r="G40" s="10" t="s">
        <v>6</v>
      </c>
      <c r="H40" s="14">
        <f>H11+H22+H34</f>
        <v>75686.275551396917</v>
      </c>
      <c r="I40" s="14"/>
      <c r="J40" s="14">
        <f>J11+J22+J34</f>
        <v>19950.28986249083</v>
      </c>
      <c r="K40" s="14"/>
      <c r="L40" s="15">
        <f>L11+L22+L34</f>
        <v>6883.6525195826298</v>
      </c>
      <c r="M40" s="24"/>
      <c r="Q40" s="10" t="s">
        <v>6</v>
      </c>
      <c r="R40" s="14">
        <f>R22+R11</f>
        <v>20087.518137358798</v>
      </c>
      <c r="S40" s="14"/>
      <c r="T40" s="14">
        <f>T11+T22</f>
        <v>6356.6131637276612</v>
      </c>
      <c r="U40" s="14"/>
      <c r="V40" s="15">
        <f>V11+V22</f>
        <v>1799.617434245205</v>
      </c>
    </row>
    <row r="41" spans="7:22" x14ac:dyDescent="0.3">
      <c r="G41" s="13"/>
      <c r="H41" s="11"/>
      <c r="I41" s="11"/>
      <c r="J41" s="11"/>
      <c r="K41" s="11"/>
      <c r="L41" s="12"/>
      <c r="M41" s="24"/>
      <c r="Q41" s="13"/>
      <c r="R41" s="11"/>
      <c r="S41" s="11"/>
      <c r="T41" s="11"/>
      <c r="U41" s="11"/>
      <c r="V41" s="12"/>
    </row>
    <row r="42" spans="7:22" x14ac:dyDescent="0.3">
      <c r="G42" s="23" t="s">
        <v>175</v>
      </c>
      <c r="H42" s="20">
        <f>H13+H24+H36</f>
        <v>49196.079108407997</v>
      </c>
      <c r="I42" s="20"/>
      <c r="J42" s="20">
        <f>J13+J24+J36</f>
        <v>12967.688410619039</v>
      </c>
      <c r="K42" s="20"/>
      <c r="L42" s="21">
        <f>L13+L24+L36</f>
        <v>4474.3741377287097</v>
      </c>
      <c r="M42" s="24"/>
      <c r="Q42" s="23" t="s">
        <v>175</v>
      </c>
      <c r="R42" s="20">
        <f>R13+R24</f>
        <v>6026.2554412076388</v>
      </c>
      <c r="S42" s="20"/>
      <c r="T42" s="20">
        <f>T13+T24</f>
        <v>1906.9839491182984</v>
      </c>
      <c r="U42" s="20"/>
      <c r="V42" s="21">
        <f>V13+V24</f>
        <v>539.88523027356155</v>
      </c>
    </row>
    <row r="43" spans="7:22" x14ac:dyDescent="0.3">
      <c r="M43" s="24"/>
    </row>
    <row r="44" spans="7:22" x14ac:dyDescent="0.3">
      <c r="M44" s="24"/>
    </row>
    <row r="45" spans="7:22" x14ac:dyDescent="0.3">
      <c r="M45" s="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617D-D22E-4930-8C4B-6F2F821F1219}">
  <dimension ref="B1:S25"/>
  <sheetViews>
    <sheetView workbookViewId="0">
      <selection activeCell="O18" sqref="O18:S18"/>
    </sheetView>
  </sheetViews>
  <sheetFormatPr defaultRowHeight="14.4" x14ac:dyDescent="0.3"/>
  <cols>
    <col min="4" max="4" width="15" customWidth="1"/>
    <col min="13" max="13" width="5" customWidth="1"/>
    <col min="14" max="14" width="11.88671875" customWidth="1"/>
  </cols>
  <sheetData>
    <row r="1" spans="2:19" x14ac:dyDescent="0.3">
      <c r="E1" s="1" t="s">
        <v>52</v>
      </c>
      <c r="K1" s="24"/>
      <c r="N1" s="1" t="s">
        <v>53</v>
      </c>
    </row>
    <row r="2" spans="2:19" x14ac:dyDescent="0.3">
      <c r="B2" s="1" t="s">
        <v>173</v>
      </c>
      <c r="E2" s="1"/>
      <c r="K2" s="24"/>
      <c r="N2" s="1"/>
    </row>
    <row r="3" spans="2:19" x14ac:dyDescent="0.3">
      <c r="E3" s="1"/>
      <c r="K3" s="24"/>
      <c r="N3" s="1"/>
    </row>
    <row r="4" spans="2:19" x14ac:dyDescent="0.3">
      <c r="B4" t="s">
        <v>51</v>
      </c>
      <c r="C4">
        <v>3000000</v>
      </c>
      <c r="D4" t="s">
        <v>21</v>
      </c>
      <c r="K4" s="24"/>
    </row>
    <row r="5" spans="2:19" x14ac:dyDescent="0.3">
      <c r="K5" s="24"/>
    </row>
    <row r="6" spans="2:19" x14ac:dyDescent="0.3">
      <c r="C6" s="1" t="s">
        <v>46</v>
      </c>
      <c r="K6" s="24"/>
    </row>
    <row r="7" spans="2:19" x14ac:dyDescent="0.3">
      <c r="K7" s="24"/>
    </row>
    <row r="8" spans="2:19" x14ac:dyDescent="0.3">
      <c r="E8">
        <v>3.2203561899927843E-3</v>
      </c>
      <c r="G8">
        <v>1.5231414412128033E-3</v>
      </c>
      <c r="I8">
        <v>2.3064713252651022E-4</v>
      </c>
      <c r="K8" s="24"/>
    </row>
    <row r="9" spans="2:19" x14ac:dyDescent="0.3">
      <c r="E9" t="s">
        <v>0</v>
      </c>
      <c r="G9" t="s">
        <v>1</v>
      </c>
      <c r="I9" t="s">
        <v>2</v>
      </c>
      <c r="K9" s="24"/>
      <c r="M9" s="1" t="str">
        <f>B2</f>
        <v>Unloading to the crusher</v>
      </c>
    </row>
    <row r="10" spans="2:19" x14ac:dyDescent="0.3">
      <c r="D10" t="s">
        <v>30</v>
      </c>
      <c r="E10">
        <f>E8*C4</f>
        <v>9661.0685699783535</v>
      </c>
      <c r="G10">
        <f>G8*C4</f>
        <v>4569.42432363841</v>
      </c>
      <c r="I10">
        <f>I8*C4</f>
        <v>691.94139757953064</v>
      </c>
      <c r="K10" s="24"/>
    </row>
    <row r="11" spans="2:19" x14ac:dyDescent="0.3">
      <c r="C11">
        <v>2</v>
      </c>
      <c r="D11" t="s">
        <v>15</v>
      </c>
      <c r="E11">
        <f>E10/C11</f>
        <v>4830.5342849891767</v>
      </c>
      <c r="G11">
        <f>G10/C11</f>
        <v>2284.712161819205</v>
      </c>
      <c r="I11">
        <f>I10/C11</f>
        <v>345.97069878976532</v>
      </c>
      <c r="K11" s="24"/>
    </row>
    <row r="12" spans="2:19" x14ac:dyDescent="0.3">
      <c r="B12" s="2" t="s">
        <v>175</v>
      </c>
      <c r="C12" s="2">
        <v>0.3</v>
      </c>
      <c r="D12" s="2" t="s">
        <v>40</v>
      </c>
      <c r="E12" s="2">
        <f>E11*C12</f>
        <v>1449.160285496753</v>
      </c>
      <c r="F12" s="2"/>
      <c r="G12" s="2">
        <f>G11*C12</f>
        <v>685.41364854576148</v>
      </c>
      <c r="H12" s="2"/>
      <c r="I12" s="2">
        <f>I11*C12</f>
        <v>103.79120963692959</v>
      </c>
      <c r="K12" s="24"/>
      <c r="M12" s="1" t="str">
        <f>C6</f>
        <v>Unloading: See emissionfactors in "Loading in pit"</v>
      </c>
    </row>
    <row r="13" spans="2:19" x14ac:dyDescent="0.3">
      <c r="B13" s="3" t="s">
        <v>175</v>
      </c>
      <c r="C13" s="3">
        <v>1</v>
      </c>
      <c r="D13" s="3" t="s">
        <v>41</v>
      </c>
      <c r="E13" s="3">
        <f>E11</f>
        <v>4830.5342849891767</v>
      </c>
      <c r="F13" s="3"/>
      <c r="G13" s="3">
        <f>G11</f>
        <v>2284.712161819205</v>
      </c>
      <c r="H13" s="3"/>
      <c r="I13" s="3">
        <f>I11</f>
        <v>345.97069878976532</v>
      </c>
      <c r="K13" s="24"/>
    </row>
    <row r="14" spans="2:19" x14ac:dyDescent="0.3">
      <c r="K14" s="24"/>
      <c r="M14" s="6"/>
      <c r="N14" s="7"/>
      <c r="O14" s="7">
        <v>3.2203561899927843E-3</v>
      </c>
      <c r="P14" s="7"/>
      <c r="Q14" s="7">
        <v>1.5231414412128033E-3</v>
      </c>
      <c r="R14" s="7"/>
      <c r="S14" s="19">
        <v>2.3064713252651022E-4</v>
      </c>
    </row>
    <row r="15" spans="2:19" x14ac:dyDescent="0.3">
      <c r="D15" s="22" t="s">
        <v>42</v>
      </c>
      <c r="E15" s="8" t="s">
        <v>12</v>
      </c>
      <c r="F15" s="8"/>
      <c r="G15" s="8" t="s">
        <v>13</v>
      </c>
      <c r="H15" s="8"/>
      <c r="I15" s="9" t="s">
        <v>14</v>
      </c>
      <c r="K15" s="24"/>
      <c r="M15" s="13"/>
      <c r="N15" s="11" t="str">
        <f>D15</f>
        <v>Annum:</v>
      </c>
      <c r="O15" s="11" t="s">
        <v>12</v>
      </c>
      <c r="P15" s="11"/>
      <c r="Q15" s="11" t="s">
        <v>13</v>
      </c>
      <c r="R15" s="11"/>
      <c r="S15" s="12" t="s">
        <v>14</v>
      </c>
    </row>
    <row r="16" spans="2:19" x14ac:dyDescent="0.3">
      <c r="D16" s="10" t="s">
        <v>6</v>
      </c>
      <c r="E16" s="14">
        <v>9661.0685699783535</v>
      </c>
      <c r="F16" s="14"/>
      <c r="G16" s="14">
        <v>4569.42432363841</v>
      </c>
      <c r="H16" s="14"/>
      <c r="I16" s="15">
        <v>691.94139757953064</v>
      </c>
      <c r="K16" s="24"/>
      <c r="M16" s="13"/>
      <c r="N16" s="14" t="s">
        <v>30</v>
      </c>
      <c r="O16" s="14">
        <v>9661.0685699783535</v>
      </c>
      <c r="P16" s="14"/>
      <c r="Q16" s="14">
        <v>4569.42432363841</v>
      </c>
      <c r="R16" s="14"/>
      <c r="S16" s="15">
        <v>691.94139757953064</v>
      </c>
    </row>
    <row r="17" spans="4:19" x14ac:dyDescent="0.3">
      <c r="D17" s="10"/>
      <c r="E17" s="14"/>
      <c r="F17" s="14"/>
      <c r="G17" s="14"/>
      <c r="H17" s="14"/>
      <c r="I17" s="15"/>
      <c r="K17" s="24"/>
      <c r="M17" s="13"/>
      <c r="N17" s="14"/>
      <c r="O17" s="14"/>
      <c r="P17" s="14"/>
      <c r="Q17" s="14"/>
      <c r="R17" s="14"/>
      <c r="S17" s="15"/>
    </row>
    <row r="18" spans="4:19" x14ac:dyDescent="0.3">
      <c r="D18" s="23" t="s">
        <v>175</v>
      </c>
      <c r="E18" s="20">
        <f>E12+E13</f>
        <v>6279.6945704859299</v>
      </c>
      <c r="F18" s="20"/>
      <c r="G18" s="20">
        <f>G12+G13</f>
        <v>2970.1258103649666</v>
      </c>
      <c r="H18" s="20"/>
      <c r="I18" s="21">
        <f>I12+I13</f>
        <v>449.7619084266949</v>
      </c>
      <c r="K18" s="24"/>
      <c r="M18" s="16">
        <v>0.3</v>
      </c>
      <c r="N18" s="20" t="s">
        <v>175</v>
      </c>
      <c r="O18" s="20">
        <f>O16*M18</f>
        <v>2898.320570993506</v>
      </c>
      <c r="P18" s="20"/>
      <c r="Q18" s="20">
        <f>Q16*M18</f>
        <v>1370.827297091523</v>
      </c>
      <c r="R18" s="20"/>
      <c r="S18" s="21">
        <f>S16*M18</f>
        <v>207.58241927385919</v>
      </c>
    </row>
    <row r="19" spans="4:19" x14ac:dyDescent="0.3">
      <c r="K19" s="24"/>
    </row>
    <row r="20" spans="4:19" x14ac:dyDescent="0.3">
      <c r="K20" s="24"/>
    </row>
    <row r="21" spans="4:19" x14ac:dyDescent="0.3">
      <c r="K21" s="24"/>
    </row>
    <row r="22" spans="4:19" x14ac:dyDescent="0.3">
      <c r="K22" s="24"/>
    </row>
    <row r="23" spans="4:19" x14ac:dyDescent="0.3">
      <c r="K23" s="24"/>
    </row>
    <row r="24" spans="4:19" x14ac:dyDescent="0.3">
      <c r="K24" s="24"/>
    </row>
    <row r="25" spans="4:19" x14ac:dyDescent="0.3">
      <c r="K25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9A2AC-8469-4D35-8F11-8E26649650B1}">
  <dimension ref="B1:Q13"/>
  <sheetViews>
    <sheetView workbookViewId="0">
      <selection activeCell="Q13" sqref="Q13"/>
    </sheetView>
  </sheetViews>
  <sheetFormatPr defaultRowHeight="14.4" x14ac:dyDescent="0.3"/>
  <cols>
    <col min="2" max="2" width="6.33203125" customWidth="1"/>
    <col min="3" max="3" width="5" customWidth="1"/>
    <col min="7" max="7" width="5.109375" customWidth="1"/>
    <col min="8" max="8" width="5.88671875" customWidth="1"/>
    <col min="11" max="11" width="6.33203125" customWidth="1"/>
    <col min="15" max="15" width="12.21875" customWidth="1"/>
    <col min="16" max="16" width="11.44140625" customWidth="1"/>
    <col min="17" max="17" width="11.21875" customWidth="1"/>
  </cols>
  <sheetData>
    <row r="1" spans="2:17" x14ac:dyDescent="0.3">
      <c r="F1" t="s">
        <v>56</v>
      </c>
      <c r="H1" t="s">
        <v>10</v>
      </c>
      <c r="I1" s="25"/>
      <c r="K1" t="s">
        <v>10</v>
      </c>
      <c r="M1" t="s">
        <v>20</v>
      </c>
      <c r="N1" t="s">
        <v>10</v>
      </c>
    </row>
    <row r="2" spans="2:17" ht="15" thickBot="1" x14ac:dyDescent="0.35">
      <c r="D2" t="s">
        <v>57</v>
      </c>
      <c r="E2" t="s">
        <v>58</v>
      </c>
      <c r="F2" s="4">
        <v>3.9</v>
      </c>
      <c r="G2" s="4">
        <v>12</v>
      </c>
      <c r="H2" s="28">
        <v>0.7</v>
      </c>
      <c r="I2" s="26">
        <v>1.1023000000000001</v>
      </c>
      <c r="J2" s="4">
        <v>3</v>
      </c>
      <c r="K2" s="28">
        <v>0.45</v>
      </c>
      <c r="M2" t="s">
        <v>59</v>
      </c>
      <c r="N2" s="30">
        <v>0.45</v>
      </c>
    </row>
    <row r="3" spans="2:17" ht="15.6" thickTop="1" thickBot="1" x14ac:dyDescent="0.35">
      <c r="B3" t="s">
        <v>0</v>
      </c>
      <c r="D3" s="27">
        <v>0.4536</v>
      </c>
      <c r="E3" s="27">
        <v>4.9000000000000004</v>
      </c>
      <c r="F3" s="4"/>
      <c r="G3" s="4"/>
      <c r="H3" s="4"/>
      <c r="I3" s="26"/>
      <c r="J3" s="4"/>
      <c r="K3" s="4"/>
      <c r="L3" s="4"/>
      <c r="M3" s="35">
        <v>164</v>
      </c>
      <c r="O3" t="s">
        <v>0</v>
      </c>
    </row>
    <row r="4" spans="2:17" ht="15" thickTop="1" x14ac:dyDescent="0.3">
      <c r="D4" s="4"/>
      <c r="E4" s="4"/>
      <c r="F4" s="27">
        <f>POWER(F2/G2,H2)</f>
        <v>0.45532170420604812</v>
      </c>
      <c r="G4" s="4"/>
      <c r="H4" s="4"/>
      <c r="I4" s="29">
        <f>POWER(I2/J2,K2)</f>
        <v>0.63728008752554732</v>
      </c>
      <c r="J4" s="4"/>
      <c r="K4" s="4"/>
      <c r="L4" s="27">
        <f>D3*E3*F4*I4/D5</f>
        <v>0.40075672237114462</v>
      </c>
      <c r="M4" s="4"/>
      <c r="N4">
        <f>POWER(M3,N2)</f>
        <v>9.9238394973827404</v>
      </c>
      <c r="O4" s="30">
        <f>L4*N4</f>
        <v>3.9770453903084144</v>
      </c>
    </row>
    <row r="5" spans="2:17" x14ac:dyDescent="0.3">
      <c r="D5" s="31">
        <v>1.6093</v>
      </c>
      <c r="E5" s="4"/>
      <c r="F5" s="4"/>
      <c r="G5" s="4"/>
      <c r="H5" s="4"/>
      <c r="I5" s="26"/>
      <c r="J5" s="4"/>
      <c r="K5" s="4"/>
      <c r="L5" s="4"/>
      <c r="M5" s="4"/>
      <c r="P5" t="s">
        <v>61</v>
      </c>
      <c r="Q5" t="s">
        <v>62</v>
      </c>
    </row>
    <row r="6" spans="2:17" x14ac:dyDescent="0.3">
      <c r="E6" t="s">
        <v>1</v>
      </c>
      <c r="I6" s="25"/>
      <c r="P6">
        <f>O4/O8</f>
        <v>4.0900455885563929</v>
      </c>
      <c r="Q6">
        <f>1/P6</f>
        <v>0.24449605226844334</v>
      </c>
    </row>
    <row r="7" spans="2:17" x14ac:dyDescent="0.3">
      <c r="H7" s="30">
        <v>0.9</v>
      </c>
      <c r="I7" s="25"/>
      <c r="O7" t="s">
        <v>1</v>
      </c>
    </row>
    <row r="8" spans="2:17" x14ac:dyDescent="0.3">
      <c r="B8" t="s">
        <v>1</v>
      </c>
      <c r="D8" s="32">
        <f>D3</f>
        <v>0.4536</v>
      </c>
      <c r="E8" s="32">
        <v>1.5</v>
      </c>
      <c r="F8" s="32">
        <f>POWER(F2/G2,H7)</f>
        <v>0.36365957335569427</v>
      </c>
      <c r="I8" s="33">
        <f>I4</f>
        <v>0.63728008752554732</v>
      </c>
      <c r="L8" s="32">
        <f>D8*E8*F8*I8/D10</f>
        <v>9.7983436539785418E-2</v>
      </c>
      <c r="N8">
        <f>N4</f>
        <v>9.9238394973827404</v>
      </c>
      <c r="O8" s="30">
        <f>L8*N8</f>
        <v>0.97237189762281773</v>
      </c>
    </row>
    <row r="9" spans="2:17" x14ac:dyDescent="0.3">
      <c r="I9" s="25"/>
      <c r="O9">
        <v>164</v>
      </c>
      <c r="P9" t="s">
        <v>64</v>
      </c>
      <c r="Q9" t="s">
        <v>63</v>
      </c>
    </row>
    <row r="10" spans="2:17" x14ac:dyDescent="0.3">
      <c r="D10" s="34">
        <f>D5</f>
        <v>1.6093</v>
      </c>
      <c r="I10" s="25"/>
      <c r="O10" t="s">
        <v>60</v>
      </c>
      <c r="P10">
        <f>1/Q10</f>
        <v>2.6737967914438503</v>
      </c>
      <c r="Q10">
        <v>0.374</v>
      </c>
    </row>
    <row r="11" spans="2:17" x14ac:dyDescent="0.3">
      <c r="I11" s="25"/>
      <c r="O11" t="s">
        <v>2</v>
      </c>
    </row>
    <row r="12" spans="2:17" x14ac:dyDescent="0.3">
      <c r="I12" s="25"/>
      <c r="O12" s="30">
        <f>O8*Q10</f>
        <v>0.36366708971093381</v>
      </c>
    </row>
    <row r="13" spans="2:17" x14ac:dyDescent="0.3">
      <c r="I13" s="2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0060-2E23-42FC-8E8A-733BF5A2074C}">
  <dimension ref="A1:AC103"/>
  <sheetViews>
    <sheetView workbookViewId="0">
      <selection activeCell="D21" sqref="D21"/>
    </sheetView>
  </sheetViews>
  <sheetFormatPr defaultRowHeight="14.4" x14ac:dyDescent="0.3"/>
  <cols>
    <col min="1" max="1" width="12.44140625" customWidth="1"/>
    <col min="8" max="8" width="25.6640625" customWidth="1"/>
    <col min="16" max="16" width="16.5546875" customWidth="1"/>
    <col min="24" max="24" width="17" customWidth="1"/>
  </cols>
  <sheetData>
    <row r="1" spans="1:29" x14ac:dyDescent="0.3">
      <c r="G1" s="1" t="s">
        <v>183</v>
      </c>
      <c r="I1" s="1" t="s">
        <v>52</v>
      </c>
      <c r="R1" s="1" t="s">
        <v>53</v>
      </c>
      <c r="V1" s="24"/>
      <c r="Y1" s="1" t="s">
        <v>53</v>
      </c>
    </row>
    <row r="2" spans="1:29" x14ac:dyDescent="0.3">
      <c r="O2" s="36" t="s">
        <v>83</v>
      </c>
      <c r="V2" s="24"/>
    </row>
    <row r="3" spans="1:29" x14ac:dyDescent="0.3">
      <c r="B3" s="1" t="s">
        <v>65</v>
      </c>
      <c r="G3" s="1" t="s">
        <v>72</v>
      </c>
      <c r="I3" t="s">
        <v>70</v>
      </c>
      <c r="J3" t="s">
        <v>71</v>
      </c>
      <c r="K3" t="s">
        <v>73</v>
      </c>
      <c r="O3" s="1" t="s">
        <v>82</v>
      </c>
      <c r="Q3" t="s">
        <v>70</v>
      </c>
      <c r="R3" t="s">
        <v>71</v>
      </c>
      <c r="S3" t="s">
        <v>73</v>
      </c>
      <c r="T3">
        <v>2</v>
      </c>
      <c r="V3" s="24"/>
      <c r="Y3" t="s">
        <v>0</v>
      </c>
      <c r="Z3">
        <v>0.24449605226844334</v>
      </c>
      <c r="AA3" t="s">
        <v>1</v>
      </c>
      <c r="AB3">
        <v>0.374</v>
      </c>
      <c r="AC3" t="s">
        <v>2</v>
      </c>
    </row>
    <row r="4" spans="1:29" x14ac:dyDescent="0.3">
      <c r="D4">
        <f>B6/B14</f>
        <v>32608.695652173912</v>
      </c>
      <c r="I4">
        <f>D6+D10</f>
        <v>63914</v>
      </c>
      <c r="J4">
        <f>I4</f>
        <v>63914</v>
      </c>
      <c r="K4">
        <v>1</v>
      </c>
      <c r="L4" t="s">
        <v>28</v>
      </c>
      <c r="Q4">
        <v>168</v>
      </c>
      <c r="R4">
        <v>168</v>
      </c>
      <c r="S4">
        <v>1</v>
      </c>
      <c r="T4" t="s">
        <v>28</v>
      </c>
      <c r="V4" s="24"/>
      <c r="Y4">
        <v>102256</v>
      </c>
      <c r="AA4">
        <f>Y4*Z3</f>
        <v>25001.188320761943</v>
      </c>
      <c r="AC4">
        <f>AA4*AB3</f>
        <v>9350.4444319649665</v>
      </c>
    </row>
    <row r="5" spans="1:29" x14ac:dyDescent="0.3">
      <c r="B5" t="s">
        <v>51</v>
      </c>
      <c r="D5" t="s">
        <v>70</v>
      </c>
      <c r="E5" t="s">
        <v>71</v>
      </c>
      <c r="G5" t="s">
        <v>69</v>
      </c>
      <c r="H5" t="s">
        <v>74</v>
      </c>
      <c r="P5" t="s">
        <v>85</v>
      </c>
      <c r="V5" s="24"/>
      <c r="Y5">
        <v>102256</v>
      </c>
      <c r="AA5">
        <v>25001.188320761943</v>
      </c>
      <c r="AC5">
        <v>9350.4444319649665</v>
      </c>
    </row>
    <row r="6" spans="1:29" x14ac:dyDescent="0.3">
      <c r="B6">
        <v>3000000</v>
      </c>
      <c r="C6" t="s">
        <v>21</v>
      </c>
      <c r="D6">
        <v>32609</v>
      </c>
      <c r="E6">
        <v>32609</v>
      </c>
      <c r="H6" t="s">
        <v>76</v>
      </c>
      <c r="I6">
        <v>3.9770453903084144</v>
      </c>
      <c r="K6">
        <v>0.97237189762281773</v>
      </c>
      <c r="M6">
        <v>0.36366708971093381</v>
      </c>
      <c r="P6" t="s">
        <v>76</v>
      </c>
      <c r="Q6">
        <v>2.7799378707019065</v>
      </c>
      <c r="S6">
        <v>0.67968383493815843</v>
      </c>
      <c r="U6">
        <v>0.25420175426687125</v>
      </c>
      <c r="V6" s="24"/>
      <c r="Y6">
        <v>102256</v>
      </c>
      <c r="AA6">
        <v>25001.188320761943</v>
      </c>
      <c r="AC6">
        <v>9350.4444319649665</v>
      </c>
    </row>
    <row r="7" spans="1:29" x14ac:dyDescent="0.3">
      <c r="I7" t="s">
        <v>0</v>
      </c>
      <c r="K7" t="s">
        <v>1</v>
      </c>
      <c r="M7" t="s">
        <v>2</v>
      </c>
      <c r="Q7" t="s">
        <v>0</v>
      </c>
      <c r="S7" t="s">
        <v>1</v>
      </c>
      <c r="U7" t="s">
        <v>2</v>
      </c>
      <c r="V7" s="24"/>
      <c r="Y7">
        <v>102256</v>
      </c>
      <c r="AA7">
        <v>25001.188320761943</v>
      </c>
      <c r="AC7">
        <v>9350.4444319649665</v>
      </c>
    </row>
    <row r="8" spans="1:29" x14ac:dyDescent="0.3">
      <c r="D8">
        <f>B10/B14</f>
        <v>31304.347826086956</v>
      </c>
      <c r="H8" s="1" t="s">
        <v>6</v>
      </c>
      <c r="I8" s="1">
        <f>I4*K4*I6</f>
        <v>254188.87907617199</v>
      </c>
      <c r="J8" s="1"/>
      <c r="K8" s="1">
        <f>I4*K6*K4</f>
        <v>62148.177464664775</v>
      </c>
      <c r="L8" s="1"/>
      <c r="M8" s="1">
        <f>M6*I4*K4</f>
        <v>23243.418371784624</v>
      </c>
      <c r="P8" s="1" t="s">
        <v>6</v>
      </c>
      <c r="Q8" s="1">
        <f>Q6*Q4*S4*T3</f>
        <v>934.05912455584053</v>
      </c>
      <c r="R8" s="1"/>
      <c r="S8" s="1">
        <f>S6*Q4*S4*T3</f>
        <v>228.37376853922123</v>
      </c>
      <c r="T8" s="1"/>
      <c r="U8" s="1">
        <f>U6*Q4*S4*T3</f>
        <v>85.411789433668744</v>
      </c>
      <c r="V8" s="42"/>
      <c r="Y8">
        <v>102256</v>
      </c>
      <c r="AA8">
        <v>25001.188320761943</v>
      </c>
      <c r="AC8">
        <v>9350.4444319649665</v>
      </c>
    </row>
    <row r="9" spans="1:29" x14ac:dyDescent="0.3">
      <c r="B9" t="s">
        <v>45</v>
      </c>
      <c r="D9" t="s">
        <v>70</v>
      </c>
      <c r="E9" t="s">
        <v>71</v>
      </c>
      <c r="V9" s="24"/>
      <c r="Y9">
        <v>102256</v>
      </c>
      <c r="AA9">
        <v>25001.188320761943</v>
      </c>
      <c r="AC9">
        <v>9350.4444319649665</v>
      </c>
    </row>
    <row r="10" spans="1:29" x14ac:dyDescent="0.3">
      <c r="B10">
        <v>2880000</v>
      </c>
      <c r="C10" t="s">
        <v>21</v>
      </c>
      <c r="D10">
        <v>31305</v>
      </c>
      <c r="E10">
        <v>31305</v>
      </c>
      <c r="G10" t="str">
        <f>A13</f>
        <v>Empty</v>
      </c>
      <c r="H10" t="s">
        <v>75</v>
      </c>
      <c r="O10" s="1" t="s">
        <v>86</v>
      </c>
      <c r="V10" s="24"/>
    </row>
    <row r="11" spans="1:29" x14ac:dyDescent="0.3">
      <c r="G11" t="s">
        <v>71</v>
      </c>
      <c r="I11">
        <v>2.7458729539053262</v>
      </c>
      <c r="K11">
        <v>0.67135509726054154</v>
      </c>
      <c r="M11">
        <v>0.25108680637544256</v>
      </c>
      <c r="Q11" t="s">
        <v>70</v>
      </c>
      <c r="R11" t="s">
        <v>71</v>
      </c>
      <c r="S11" t="s">
        <v>73</v>
      </c>
      <c r="T11">
        <v>2</v>
      </c>
      <c r="V11" s="11"/>
      <c r="W11" s="6"/>
      <c r="X11" s="8" t="s">
        <v>5</v>
      </c>
      <c r="Y11" s="8" t="s">
        <v>12</v>
      </c>
      <c r="Z11" s="8"/>
      <c r="AA11" s="8" t="s">
        <v>13</v>
      </c>
      <c r="AB11" s="8"/>
      <c r="AC11" s="9" t="s">
        <v>14</v>
      </c>
    </row>
    <row r="12" spans="1:29" x14ac:dyDescent="0.3">
      <c r="A12" t="s">
        <v>66</v>
      </c>
      <c r="I12" t="s">
        <v>0</v>
      </c>
      <c r="K12" t="s">
        <v>1</v>
      </c>
      <c r="M12" t="s">
        <v>2</v>
      </c>
      <c r="Q12">
        <v>168</v>
      </c>
      <c r="R12">
        <v>168</v>
      </c>
      <c r="S12">
        <v>0.8</v>
      </c>
      <c r="T12" t="s">
        <v>28</v>
      </c>
      <c r="V12" s="11"/>
      <c r="W12" s="13"/>
      <c r="X12" s="14"/>
      <c r="Y12" s="11"/>
      <c r="Z12" s="11"/>
      <c r="AA12" s="11"/>
      <c r="AB12" s="11"/>
      <c r="AC12" s="12"/>
    </row>
    <row r="13" spans="1:29" x14ac:dyDescent="0.3">
      <c r="A13" t="s">
        <v>67</v>
      </c>
      <c r="B13">
        <v>72</v>
      </c>
      <c r="C13" t="s">
        <v>21</v>
      </c>
      <c r="H13" s="1" t="str">
        <f>H8</f>
        <v>Emissions</v>
      </c>
      <c r="I13" s="1">
        <f>I11*J4*K4</f>
        <v>175499.72397590501</v>
      </c>
      <c r="J13" s="1"/>
      <c r="K13" s="1">
        <f>K11*J4*K4</f>
        <v>42908.989686310255</v>
      </c>
      <c r="L13" s="1"/>
      <c r="M13" s="1">
        <f>M11*J4*K4</f>
        <v>16047.962142680037</v>
      </c>
      <c r="P13" t="s">
        <v>85</v>
      </c>
      <c r="V13" s="11"/>
      <c r="W13" s="55"/>
      <c r="X13" s="56" t="s">
        <v>6</v>
      </c>
      <c r="Y13" s="69">
        <f>Y4+Y5+Y6+Y7+Y8+Y9</f>
        <v>613536</v>
      </c>
      <c r="Z13" s="69"/>
      <c r="AA13" s="69">
        <f>AA4+AA5+AA6+AA7+AA8+AA9</f>
        <v>150007.12992457167</v>
      </c>
      <c r="AB13" s="69"/>
      <c r="AC13" s="70">
        <f>AC4+AC5+AC6+AC7+AC8+AC9</f>
        <v>56102.666591789792</v>
      </c>
    </row>
    <row r="14" spans="1:29" x14ac:dyDescent="0.3">
      <c r="A14" t="s">
        <v>68</v>
      </c>
      <c r="B14">
        <v>92</v>
      </c>
      <c r="C14" t="s">
        <v>21</v>
      </c>
      <c r="P14" t="s">
        <v>76</v>
      </c>
      <c r="Q14">
        <v>2.7799378707019065</v>
      </c>
      <c r="S14">
        <v>0.67968383493815843</v>
      </c>
      <c r="U14">
        <v>0.25420175426687125</v>
      </c>
      <c r="V14" s="11"/>
      <c r="W14" s="55">
        <v>2</v>
      </c>
      <c r="X14" s="56" t="s">
        <v>15</v>
      </c>
      <c r="Y14" s="56">
        <f>Y13/W14</f>
        <v>306768</v>
      </c>
      <c r="Z14" s="56"/>
      <c r="AA14" s="56">
        <f>AA13/W14</f>
        <v>75003.564962285833</v>
      </c>
      <c r="AB14" s="56"/>
      <c r="AC14" s="57">
        <f>AC13/W14</f>
        <v>28051.333295894896</v>
      </c>
    </row>
    <row r="15" spans="1:29" x14ac:dyDescent="0.3">
      <c r="A15" t="s">
        <v>69</v>
      </c>
      <c r="B15">
        <f>SUM(B13:B14)</f>
        <v>164</v>
      </c>
      <c r="C15" t="s">
        <v>21</v>
      </c>
      <c r="G15" t="s">
        <v>36</v>
      </c>
      <c r="I15" t="s">
        <v>0</v>
      </c>
      <c r="K15" t="s">
        <v>1</v>
      </c>
      <c r="M15" t="s">
        <v>2</v>
      </c>
      <c r="Q15" t="s">
        <v>0</v>
      </c>
      <c r="S15" t="s">
        <v>1</v>
      </c>
      <c r="U15" t="s">
        <v>2</v>
      </c>
      <c r="V15" s="11"/>
      <c r="W15" s="58">
        <v>0.57999999999999996</v>
      </c>
      <c r="X15" s="59" t="s">
        <v>176</v>
      </c>
      <c r="Y15" s="59">
        <f>Y14*W15</f>
        <v>177925.43999999997</v>
      </c>
      <c r="Z15" s="59"/>
      <c r="AA15" s="59">
        <f>AA14*W15</f>
        <v>43502.067678125779</v>
      </c>
      <c r="AB15" s="59"/>
      <c r="AC15" s="60">
        <f>AC14*W15</f>
        <v>16269.773311619039</v>
      </c>
    </row>
    <row r="16" spans="1:29" x14ac:dyDescent="0.3">
      <c r="H16" t="s">
        <v>6</v>
      </c>
      <c r="I16">
        <f>I8+I13</f>
        <v>429688.603052077</v>
      </c>
      <c r="K16">
        <f>K8+K13</f>
        <v>105057.16715097503</v>
      </c>
      <c r="M16">
        <f>M8+M13</f>
        <v>39291.380514464661</v>
      </c>
      <c r="P16" s="1" t="s">
        <v>6</v>
      </c>
      <c r="Q16" s="1">
        <f>Q14*Q12*S12*T11</f>
        <v>747.24729964467247</v>
      </c>
      <c r="R16" s="1"/>
      <c r="S16" s="1">
        <f>S14*Q12*S12*T11</f>
        <v>182.69901483137699</v>
      </c>
      <c r="T16" s="1"/>
      <c r="U16" s="1">
        <f>U14*Q12*S12*T11</f>
        <v>68.329431546934998</v>
      </c>
      <c r="V16" s="14"/>
      <c r="W16" s="61">
        <v>0.16</v>
      </c>
      <c r="X16" s="54" t="s">
        <v>177</v>
      </c>
      <c r="Y16" s="54">
        <f>Y14*W16</f>
        <v>49082.880000000005</v>
      </c>
      <c r="Z16" s="54"/>
      <c r="AA16" s="54">
        <f>AA14*W16</f>
        <v>12000.570393965734</v>
      </c>
      <c r="AB16" s="54"/>
      <c r="AC16" s="62">
        <f>AC14*W16</f>
        <v>4488.2133273431837</v>
      </c>
    </row>
    <row r="17" spans="1:29" x14ac:dyDescent="0.3">
      <c r="A17" t="s">
        <v>80</v>
      </c>
      <c r="G17">
        <v>2</v>
      </c>
      <c r="H17" t="s">
        <v>15</v>
      </c>
      <c r="I17">
        <f>I16/G17</f>
        <v>214844.3015260385</v>
      </c>
      <c r="K17">
        <f>K16/G17</f>
        <v>52528.583575487515</v>
      </c>
      <c r="M17">
        <f>M16/G17</f>
        <v>19645.690257232331</v>
      </c>
      <c r="V17" s="11"/>
      <c r="W17" s="13"/>
      <c r="X17" s="11"/>
      <c r="Y17" s="11"/>
      <c r="Z17" s="11"/>
      <c r="AA17" s="11"/>
      <c r="AB17" s="11"/>
      <c r="AC17" s="12"/>
    </row>
    <row r="18" spans="1:29" x14ac:dyDescent="0.3">
      <c r="A18" t="s">
        <v>81</v>
      </c>
      <c r="B18">
        <v>74</v>
      </c>
      <c r="C18" t="s">
        <v>21</v>
      </c>
      <c r="G18" s="2">
        <v>0.57999999999999996</v>
      </c>
      <c r="H18" s="2" t="s">
        <v>176</v>
      </c>
      <c r="I18" s="2">
        <f>I17*G18</f>
        <v>124609.69488510232</v>
      </c>
      <c r="J18" s="2"/>
      <c r="K18" s="2">
        <f>K17*G18</f>
        <v>30466.578473782756</v>
      </c>
      <c r="L18" s="2"/>
      <c r="M18" s="2">
        <f>M17*G18</f>
        <v>11394.500349194752</v>
      </c>
      <c r="O18" s="1" t="s">
        <v>87</v>
      </c>
      <c r="V18" s="11"/>
      <c r="W18" s="16"/>
      <c r="X18" s="20" t="s">
        <v>175</v>
      </c>
      <c r="Y18" s="20">
        <f>SUM(Y15:Y17)</f>
        <v>227008.31999999998</v>
      </c>
      <c r="Z18" s="20"/>
      <c r="AA18" s="20">
        <f>SUM(AA15:AA17)</f>
        <v>55502.638072091511</v>
      </c>
      <c r="AB18" s="20"/>
      <c r="AC18" s="21">
        <f>SUM(AC15:AC17)</f>
        <v>20757.986638962222</v>
      </c>
    </row>
    <row r="19" spans="1:29" x14ac:dyDescent="0.3">
      <c r="G19" s="3">
        <v>0.16</v>
      </c>
      <c r="H19" s="3" t="s">
        <v>177</v>
      </c>
      <c r="I19" s="3">
        <f>I17*G19</f>
        <v>34375.08824416616</v>
      </c>
      <c r="J19" s="3"/>
      <c r="K19" s="3">
        <f>K17*G19</f>
        <v>8404.5733720780026</v>
      </c>
      <c r="L19" s="3"/>
      <c r="M19" s="3">
        <f>M17*G19</f>
        <v>3143.310441157173</v>
      </c>
      <c r="Q19" t="s">
        <v>70</v>
      </c>
      <c r="R19" t="s">
        <v>71</v>
      </c>
      <c r="S19" t="s">
        <v>73</v>
      </c>
      <c r="T19">
        <v>2</v>
      </c>
      <c r="V19" s="24"/>
    </row>
    <row r="20" spans="1:29" x14ac:dyDescent="0.3">
      <c r="Q20">
        <v>168</v>
      </c>
      <c r="R20">
        <v>168</v>
      </c>
      <c r="S20">
        <v>0.8</v>
      </c>
      <c r="T20" t="s">
        <v>28</v>
      </c>
      <c r="V20" s="24"/>
    </row>
    <row r="21" spans="1:29" x14ac:dyDescent="0.3">
      <c r="H21" s="6" t="s">
        <v>6</v>
      </c>
      <c r="I21" s="8">
        <f>I16</f>
        <v>429688.603052077</v>
      </c>
      <c r="J21" s="8"/>
      <c r="K21" s="8">
        <v>94551.450435877501</v>
      </c>
      <c r="L21" s="8"/>
      <c r="M21" s="9">
        <v>35362.242463018199</v>
      </c>
      <c r="P21" t="s">
        <v>85</v>
      </c>
      <c r="V21" s="24"/>
    </row>
    <row r="22" spans="1:29" x14ac:dyDescent="0.3">
      <c r="H22" s="13"/>
      <c r="I22" s="11"/>
      <c r="J22" s="11"/>
      <c r="K22" s="11"/>
      <c r="L22" s="11"/>
      <c r="M22" s="12"/>
      <c r="P22" t="s">
        <v>76</v>
      </c>
      <c r="Q22">
        <v>2.7799378707019065</v>
      </c>
      <c r="S22">
        <v>0.67968383493815843</v>
      </c>
      <c r="U22">
        <v>0.25420175426687125</v>
      </c>
      <c r="V22" s="24"/>
    </row>
    <row r="23" spans="1:29" x14ac:dyDescent="0.3">
      <c r="H23" s="16" t="s">
        <v>175</v>
      </c>
      <c r="I23" s="20">
        <f>I18+I19</f>
        <v>158984.78312926847</v>
      </c>
      <c r="J23" s="20"/>
      <c r="K23" s="20">
        <f>K18+K19</f>
        <v>38871.151845860761</v>
      </c>
      <c r="L23" s="20"/>
      <c r="M23" s="21">
        <f>M18+M19</f>
        <v>14537.810790351925</v>
      </c>
      <c r="Q23" t="s">
        <v>0</v>
      </c>
      <c r="S23" t="s">
        <v>1</v>
      </c>
      <c r="U23" t="s">
        <v>2</v>
      </c>
      <c r="V23" s="24"/>
    </row>
    <row r="24" spans="1:29" x14ac:dyDescent="0.3">
      <c r="P24" s="1" t="s">
        <v>6</v>
      </c>
      <c r="Q24" s="1">
        <f>Q22*Q20*S20*T19</f>
        <v>747.24729964467247</v>
      </c>
      <c r="R24" s="1"/>
      <c r="S24" s="1">
        <f>S22*Q20*S20*T19</f>
        <v>182.69901483137699</v>
      </c>
      <c r="T24" s="1"/>
      <c r="U24" s="1">
        <f>U22*Q20*S20*T19</f>
        <v>68.329431546934998</v>
      </c>
      <c r="V24" s="42"/>
    </row>
    <row r="25" spans="1:29" x14ac:dyDescent="0.3">
      <c r="G25" s="1" t="s">
        <v>77</v>
      </c>
      <c r="I25" t="s">
        <v>70</v>
      </c>
      <c r="J25" t="s">
        <v>71</v>
      </c>
      <c r="K25" t="s">
        <v>73</v>
      </c>
      <c r="V25" s="24"/>
    </row>
    <row r="26" spans="1:29" x14ac:dyDescent="0.3">
      <c r="I26">
        <f>I4</f>
        <v>63914</v>
      </c>
      <c r="J26">
        <f>J4</f>
        <v>63914</v>
      </c>
      <c r="K26">
        <v>0.8</v>
      </c>
      <c r="O26" s="1" t="s">
        <v>88</v>
      </c>
      <c r="V26" s="24"/>
    </row>
    <row r="27" spans="1:29" x14ac:dyDescent="0.3">
      <c r="G27" t="s">
        <v>69</v>
      </c>
      <c r="H27" t="s">
        <v>74</v>
      </c>
      <c r="Q27" t="s">
        <v>70</v>
      </c>
      <c r="R27" t="s">
        <v>71</v>
      </c>
      <c r="S27" t="s">
        <v>73</v>
      </c>
      <c r="T27">
        <v>2</v>
      </c>
      <c r="V27" s="24"/>
    </row>
    <row r="28" spans="1:29" x14ac:dyDescent="0.3">
      <c r="H28" t="s">
        <v>76</v>
      </c>
      <c r="I28">
        <v>3.97704539030841</v>
      </c>
      <c r="K28">
        <v>0.97237189762281773</v>
      </c>
      <c r="M28">
        <v>0.36366708971093381</v>
      </c>
      <c r="Q28">
        <v>168</v>
      </c>
      <c r="R28">
        <v>168</v>
      </c>
      <c r="S28">
        <v>1</v>
      </c>
      <c r="T28" t="s">
        <v>28</v>
      </c>
      <c r="V28" s="24"/>
    </row>
    <row r="29" spans="1:29" x14ac:dyDescent="0.3">
      <c r="I29" t="s">
        <v>0</v>
      </c>
      <c r="K29" t="s">
        <v>1</v>
      </c>
      <c r="M29" t="s">
        <v>2</v>
      </c>
      <c r="P29" t="s">
        <v>85</v>
      </c>
      <c r="V29" s="24"/>
    </row>
    <row r="30" spans="1:29" x14ac:dyDescent="0.3">
      <c r="H30" t="s">
        <v>6</v>
      </c>
      <c r="I30">
        <f>I26*K26*I28</f>
        <v>203351.10326093738</v>
      </c>
      <c r="K30">
        <f>I26*K28*K26</f>
        <v>49718.541971731822</v>
      </c>
      <c r="M30">
        <f>M28*I26*K26</f>
        <v>18594.734697427699</v>
      </c>
      <c r="P30" t="s">
        <v>76</v>
      </c>
      <c r="Q30">
        <v>2.7799378707019065</v>
      </c>
      <c r="S30">
        <v>0.67968383493815843</v>
      </c>
      <c r="U30">
        <v>0.25420175426687125</v>
      </c>
      <c r="V30" s="24"/>
    </row>
    <row r="31" spans="1:29" x14ac:dyDescent="0.3">
      <c r="Q31" t="s">
        <v>0</v>
      </c>
      <c r="S31" t="s">
        <v>1</v>
      </c>
      <c r="U31" t="s">
        <v>2</v>
      </c>
      <c r="V31" s="24"/>
    </row>
    <row r="32" spans="1:29" x14ac:dyDescent="0.3">
      <c r="G32" t="s">
        <v>67</v>
      </c>
      <c r="H32" t="s">
        <v>75</v>
      </c>
      <c r="P32" s="1" t="s">
        <v>6</v>
      </c>
      <c r="Q32" s="1">
        <f>Q30*Q28*S28*T27</f>
        <v>934.05912455584053</v>
      </c>
      <c r="R32" s="1"/>
      <c r="S32" s="1">
        <f>S30*Q28*S28*T27</f>
        <v>228.37376853922123</v>
      </c>
      <c r="T32" s="1"/>
      <c r="U32" s="1">
        <f>U30*Q28*S28*T27</f>
        <v>85.411789433668744</v>
      </c>
      <c r="V32" s="42"/>
    </row>
    <row r="33" spans="7:22" x14ac:dyDescent="0.3">
      <c r="G33" t="s">
        <v>71</v>
      </c>
      <c r="I33">
        <v>2.7458729539053262</v>
      </c>
      <c r="K33">
        <v>0.67135509726054154</v>
      </c>
      <c r="M33">
        <v>0.25108680637544256</v>
      </c>
      <c r="V33" s="24"/>
    </row>
    <row r="34" spans="7:22" x14ac:dyDescent="0.3">
      <c r="I34" t="s">
        <v>0</v>
      </c>
      <c r="K34" t="s">
        <v>1</v>
      </c>
      <c r="M34" t="s">
        <v>2</v>
      </c>
      <c r="O34" s="1" t="s">
        <v>89</v>
      </c>
      <c r="V34" s="24"/>
    </row>
    <row r="35" spans="7:22" x14ac:dyDescent="0.3">
      <c r="H35" t="str">
        <f>H30</f>
        <v>Emissions</v>
      </c>
      <c r="I35">
        <f>I33*J26*K26</f>
        <v>140399.77918072403</v>
      </c>
      <c r="K35">
        <f>K33*J26*K26</f>
        <v>34327.191749048208</v>
      </c>
      <c r="M35">
        <f>M33*J26*K26</f>
        <v>12838.36971414403</v>
      </c>
      <c r="O35">
        <v>22</v>
      </c>
      <c r="P35" t="s">
        <v>21</v>
      </c>
      <c r="Q35" t="s">
        <v>70</v>
      </c>
      <c r="R35" t="s">
        <v>71</v>
      </c>
      <c r="S35" t="s">
        <v>73</v>
      </c>
      <c r="T35">
        <v>2</v>
      </c>
      <c r="U35">
        <v>2</v>
      </c>
      <c r="V35" s="24"/>
    </row>
    <row r="36" spans="7:22" x14ac:dyDescent="0.3">
      <c r="Q36">
        <v>168</v>
      </c>
      <c r="R36">
        <v>168</v>
      </c>
      <c r="S36">
        <v>1</v>
      </c>
      <c r="T36" t="s">
        <v>28</v>
      </c>
      <c r="V36" s="24"/>
    </row>
    <row r="37" spans="7:22" x14ac:dyDescent="0.3">
      <c r="G37" t="s">
        <v>36</v>
      </c>
      <c r="I37" t="s">
        <v>0</v>
      </c>
      <c r="K37" t="s">
        <v>1</v>
      </c>
      <c r="M37" t="s">
        <v>2</v>
      </c>
      <c r="V37" s="24"/>
    </row>
    <row r="38" spans="7:22" x14ac:dyDescent="0.3">
      <c r="H38" t="s">
        <v>6</v>
      </c>
      <c r="I38">
        <f>I30+I35</f>
        <v>343750.88244166144</v>
      </c>
      <c r="K38">
        <f>K30+K35</f>
        <v>84045.73372078003</v>
      </c>
      <c r="M38">
        <f>M30+M35</f>
        <v>31433.10441157173</v>
      </c>
      <c r="P38" t="s">
        <v>76</v>
      </c>
      <c r="Q38">
        <v>1.610538171017013</v>
      </c>
      <c r="S38">
        <v>0.39377022484129881</v>
      </c>
      <c r="U38">
        <v>0.14727006409064575</v>
      </c>
      <c r="V38" s="24"/>
    </row>
    <row r="39" spans="7:22" x14ac:dyDescent="0.3">
      <c r="G39">
        <v>2</v>
      </c>
      <c r="H39" t="s">
        <v>15</v>
      </c>
      <c r="I39">
        <f>I38/G39</f>
        <v>171875.44122083072</v>
      </c>
      <c r="K39">
        <f>K38/G39</f>
        <v>42022.866860390015</v>
      </c>
      <c r="M39">
        <f>M38/G39</f>
        <v>15716.552205785865</v>
      </c>
      <c r="Q39" t="s">
        <v>0</v>
      </c>
      <c r="S39" t="s">
        <v>1</v>
      </c>
      <c r="U39" t="s">
        <v>2</v>
      </c>
      <c r="V39" s="24"/>
    </row>
    <row r="40" spans="7:22" x14ac:dyDescent="0.3">
      <c r="G40" s="2">
        <v>0.57999999999999996</v>
      </c>
      <c r="H40" s="2" t="s">
        <v>176</v>
      </c>
      <c r="I40" s="2">
        <f>I39*G40</f>
        <v>99687.755908081803</v>
      </c>
      <c r="J40" s="2"/>
      <c r="K40" s="2">
        <f>K39*G40</f>
        <v>24373.262779026209</v>
      </c>
      <c r="L40" s="2"/>
      <c r="M40" s="2">
        <f>M39*G40</f>
        <v>9115.6002793558018</v>
      </c>
      <c r="P40" s="1" t="s">
        <v>6</v>
      </c>
      <c r="Q40" s="1">
        <f>Q38*R36*S36*T35*U35</f>
        <v>1082.2816509234328</v>
      </c>
      <c r="R40" s="1"/>
      <c r="S40" s="1">
        <f>S38*R36*S36*T35*U35</f>
        <v>264.6135910933528</v>
      </c>
      <c r="T40" s="1"/>
      <c r="U40" s="1">
        <f>U38*Q36*S36*T35*U35</f>
        <v>98.96548306891394</v>
      </c>
      <c r="V40" s="42"/>
    </row>
    <row r="41" spans="7:22" x14ac:dyDescent="0.3">
      <c r="G41" s="3">
        <v>0.16</v>
      </c>
      <c r="H41" s="3" t="s">
        <v>177</v>
      </c>
      <c r="I41" s="3">
        <f>I39*G41</f>
        <v>27500.070595332916</v>
      </c>
      <c r="J41" s="3"/>
      <c r="K41" s="3">
        <f>K39*G41</f>
        <v>6723.6586976624021</v>
      </c>
      <c r="L41" s="3"/>
      <c r="M41" s="3">
        <f>M39*G41</f>
        <v>2514.6483529257384</v>
      </c>
      <c r="V41" s="24"/>
    </row>
    <row r="42" spans="7:22" x14ac:dyDescent="0.3">
      <c r="O42" s="1" t="s">
        <v>90</v>
      </c>
      <c r="V42" s="24"/>
    </row>
    <row r="43" spans="7:22" x14ac:dyDescent="0.3">
      <c r="H43" s="6" t="s">
        <v>6</v>
      </c>
      <c r="I43" s="8">
        <f>I30+I35</f>
        <v>343750.88244166144</v>
      </c>
      <c r="J43" s="8"/>
      <c r="K43" s="8">
        <f>K30+K35</f>
        <v>84045.73372078003</v>
      </c>
      <c r="L43" s="8"/>
      <c r="M43" s="9">
        <f>M30+M35</f>
        <v>31433.10441157173</v>
      </c>
      <c r="O43">
        <v>200</v>
      </c>
      <c r="P43" t="s">
        <v>21</v>
      </c>
      <c r="Q43" t="s">
        <v>70</v>
      </c>
      <c r="R43" t="s">
        <v>71</v>
      </c>
      <c r="S43" t="s">
        <v>73</v>
      </c>
      <c r="T43">
        <v>2</v>
      </c>
      <c r="V43" s="24"/>
    </row>
    <row r="44" spans="7:22" x14ac:dyDescent="0.3">
      <c r="H44" s="13"/>
      <c r="I44" s="11"/>
      <c r="J44" s="11"/>
      <c r="K44" s="11"/>
      <c r="L44" s="11"/>
      <c r="M44" s="12"/>
      <c r="Q44">
        <v>168</v>
      </c>
      <c r="R44">
        <v>168</v>
      </c>
      <c r="S44">
        <v>1</v>
      </c>
      <c r="T44" t="s">
        <v>28</v>
      </c>
      <c r="V44" s="24"/>
    </row>
    <row r="45" spans="7:22" x14ac:dyDescent="0.3">
      <c r="H45" s="16" t="s">
        <v>175</v>
      </c>
      <c r="I45" s="20">
        <f>I40+I41</f>
        <v>127187.82650341472</v>
      </c>
      <c r="J45" s="20"/>
      <c r="K45" s="20">
        <f>K40+K41</f>
        <v>31096.921476688611</v>
      </c>
      <c r="L45" s="20"/>
      <c r="M45" s="21">
        <f>M40+M41</f>
        <v>11630.24863228154</v>
      </c>
      <c r="V45" s="24"/>
    </row>
    <row r="46" spans="7:22" x14ac:dyDescent="0.3">
      <c r="P46" t="s">
        <v>76</v>
      </c>
      <c r="Q46">
        <v>4.3485484588298684</v>
      </c>
      <c r="S46">
        <v>1.0632029312819262</v>
      </c>
      <c r="U46">
        <v>0.39763789629944041</v>
      </c>
      <c r="V46" s="24"/>
    </row>
    <row r="47" spans="7:22" x14ac:dyDescent="0.3">
      <c r="G47" s="1" t="s">
        <v>78</v>
      </c>
      <c r="I47" t="s">
        <v>70</v>
      </c>
      <c r="J47" t="s">
        <v>71</v>
      </c>
      <c r="K47" t="s">
        <v>73</v>
      </c>
      <c r="Q47" t="s">
        <v>0</v>
      </c>
      <c r="S47" t="s">
        <v>1</v>
      </c>
      <c r="U47" t="s">
        <v>2</v>
      </c>
      <c r="V47" s="24"/>
    </row>
    <row r="48" spans="7:22" x14ac:dyDescent="0.3">
      <c r="I48">
        <v>32609</v>
      </c>
      <c r="J48">
        <v>32609</v>
      </c>
      <c r="K48">
        <v>3.3</v>
      </c>
      <c r="L48" t="s">
        <v>28</v>
      </c>
      <c r="P48" s="1" t="s">
        <v>6</v>
      </c>
      <c r="Q48" s="1">
        <f>Q46*Q44*S44*T43</f>
        <v>1461.1122821668357</v>
      </c>
      <c r="R48" s="1"/>
      <c r="S48" s="1">
        <f>S46*Q44*S44*T43</f>
        <v>357.23618491072722</v>
      </c>
      <c r="T48" s="1"/>
      <c r="U48" s="1">
        <f>U46*R44*S44*T43</f>
        <v>133.60633315661198</v>
      </c>
      <c r="V48" s="42"/>
    </row>
    <row r="49" spans="7:22" x14ac:dyDescent="0.3">
      <c r="G49" t="s">
        <v>69</v>
      </c>
      <c r="H49" t="s">
        <v>74</v>
      </c>
      <c r="V49" s="24"/>
    </row>
    <row r="50" spans="7:22" x14ac:dyDescent="0.3">
      <c r="H50" t="s">
        <v>76</v>
      </c>
      <c r="I50">
        <v>3.97704539030841</v>
      </c>
      <c r="K50">
        <v>0.97237189762281773</v>
      </c>
      <c r="M50">
        <v>0.36366708971093381</v>
      </c>
      <c r="O50" s="1" t="s">
        <v>91</v>
      </c>
      <c r="V50" s="24"/>
    </row>
    <row r="51" spans="7:22" x14ac:dyDescent="0.3">
      <c r="I51" t="s">
        <v>0</v>
      </c>
      <c r="K51" t="s">
        <v>1</v>
      </c>
      <c r="M51" t="s">
        <v>2</v>
      </c>
      <c r="V51" s="24"/>
    </row>
    <row r="52" spans="7:22" x14ac:dyDescent="0.3">
      <c r="H52" t="s">
        <v>6</v>
      </c>
      <c r="I52">
        <f>I48*K48*I50</f>
        <v>427968.66133747087</v>
      </c>
      <c r="K52">
        <f>I48*K50*K48</f>
        <v>104636.64819162212</v>
      </c>
      <c r="M52">
        <f>M50*I48*K48</f>
        <v>39134.106423666672</v>
      </c>
      <c r="Q52" t="s">
        <v>0</v>
      </c>
      <c r="S52" t="s">
        <v>1</v>
      </c>
      <c r="U52" t="s">
        <v>2</v>
      </c>
      <c r="V52" s="24"/>
    </row>
    <row r="53" spans="7:22" x14ac:dyDescent="0.3">
      <c r="V53" s="24"/>
    </row>
    <row r="54" spans="7:22" x14ac:dyDescent="0.3">
      <c r="G54" t="s">
        <v>67</v>
      </c>
      <c r="H54" t="s">
        <v>75</v>
      </c>
      <c r="P54" s="1" t="str">
        <f>P48</f>
        <v>Emissions</v>
      </c>
      <c r="Q54" s="1">
        <f>Q8+Q16+Q24+Q32+Q40+Q48</f>
        <v>5906.0067814912945</v>
      </c>
      <c r="R54" s="1"/>
      <c r="S54" s="1">
        <f>S8+S16+S24+S32+S40+S48</f>
        <v>1443.9953427452765</v>
      </c>
      <c r="T54" s="1"/>
      <c r="U54" s="1">
        <f>U8+U16+U24+U32+U40+U48</f>
        <v>540.05425818673348</v>
      </c>
      <c r="V54" s="42"/>
    </row>
    <row r="55" spans="7:22" x14ac:dyDescent="0.3">
      <c r="G55" t="s">
        <v>71</v>
      </c>
      <c r="I55">
        <v>2.7458729539053262</v>
      </c>
      <c r="K55">
        <v>0.67135509726054154</v>
      </c>
      <c r="M55">
        <v>0.25108680637544256</v>
      </c>
      <c r="O55">
        <v>2</v>
      </c>
      <c r="P55" t="s">
        <v>15</v>
      </c>
      <c r="Q55">
        <f>Q54/O55</f>
        <v>2953.0033907456473</v>
      </c>
      <c r="S55">
        <f>S54/O55</f>
        <v>721.99767137263825</v>
      </c>
      <c r="U55">
        <f>U54/O55</f>
        <v>270.02712909336674</v>
      </c>
      <c r="V55" s="24"/>
    </row>
    <row r="56" spans="7:22" x14ac:dyDescent="0.3">
      <c r="I56" t="s">
        <v>0</v>
      </c>
      <c r="K56" t="s">
        <v>1</v>
      </c>
      <c r="M56" t="s">
        <v>2</v>
      </c>
      <c r="O56" s="2">
        <v>0.57999999999999996</v>
      </c>
      <c r="P56" s="2" t="s">
        <v>176</v>
      </c>
      <c r="Q56" s="2">
        <f>Q55*O56</f>
        <v>1712.7419666324754</v>
      </c>
      <c r="R56" s="2"/>
      <c r="S56" s="2">
        <f>S55*O56</f>
        <v>418.75864939613018</v>
      </c>
      <c r="T56" s="2"/>
      <c r="U56" s="2">
        <f>U55*O56</f>
        <v>156.61573487415271</v>
      </c>
      <c r="V56" s="46"/>
    </row>
    <row r="57" spans="7:22" x14ac:dyDescent="0.3">
      <c r="H57" t="str">
        <f>H52</f>
        <v>Emissions</v>
      </c>
      <c r="I57">
        <f>I55*J48*K48</f>
        <v>295482.564807866</v>
      </c>
      <c r="K57">
        <f>K55*J48*K48</f>
        <v>72244.320609677699</v>
      </c>
      <c r="M57">
        <f>M55*J48*K48</f>
        <v>27019.375908019461</v>
      </c>
      <c r="O57" s="3">
        <v>0.16</v>
      </c>
      <c r="P57" s="3" t="s">
        <v>177</v>
      </c>
      <c r="Q57" s="3">
        <f>Q55*O57</f>
        <v>472.48054251930358</v>
      </c>
      <c r="R57" s="3"/>
      <c r="S57" s="3">
        <f>S55*O57</f>
        <v>115.51962741962213</v>
      </c>
      <c r="T57" s="3"/>
      <c r="U57" s="3">
        <f>U55*O57</f>
        <v>43.204340654938676</v>
      </c>
      <c r="V57" s="47"/>
    </row>
    <row r="58" spans="7:22" x14ac:dyDescent="0.3">
      <c r="V58" s="24"/>
    </row>
    <row r="59" spans="7:22" x14ac:dyDescent="0.3">
      <c r="G59" t="s">
        <v>36</v>
      </c>
      <c r="I59" t="s">
        <v>0</v>
      </c>
      <c r="K59" t="s">
        <v>1</v>
      </c>
      <c r="M59" t="s">
        <v>2</v>
      </c>
      <c r="P59" s="1" t="s">
        <v>92</v>
      </c>
      <c r="Q59" s="1">
        <f>Q54</f>
        <v>5906.0067814912945</v>
      </c>
      <c r="R59" s="1"/>
      <c r="S59" s="1">
        <f>S54</f>
        <v>1443.9953427452765</v>
      </c>
      <c r="T59" s="1"/>
      <c r="U59" s="1">
        <f>U54</f>
        <v>540.05425818673348</v>
      </c>
      <c r="V59" s="42"/>
    </row>
    <row r="60" spans="7:22" x14ac:dyDescent="0.3">
      <c r="H60" t="s">
        <v>6</v>
      </c>
      <c r="I60">
        <f>I52+I57</f>
        <v>723451.22614533687</v>
      </c>
      <c r="K60">
        <f>K52+K57</f>
        <v>176880.96880129981</v>
      </c>
      <c r="M60">
        <f>M52+M57</f>
        <v>66153.482331686129</v>
      </c>
      <c r="V60" s="24"/>
    </row>
    <row r="61" spans="7:22" x14ac:dyDescent="0.3">
      <c r="G61">
        <v>2</v>
      </c>
      <c r="H61" t="s">
        <v>15</v>
      </c>
      <c r="I61">
        <f>I60/G61</f>
        <v>361725.61307266844</v>
      </c>
      <c r="K61">
        <f>K60/G61</f>
        <v>88440.484400649904</v>
      </c>
      <c r="M61">
        <f>M60/G61</f>
        <v>33076.741165843065</v>
      </c>
      <c r="P61" s="1" t="s">
        <v>175</v>
      </c>
      <c r="Q61" s="1">
        <f>Q56+Q57</f>
        <v>2185.2225091517789</v>
      </c>
      <c r="R61" s="1"/>
      <c r="S61" s="1">
        <f>S56+S57</f>
        <v>534.27827681575229</v>
      </c>
      <c r="T61" s="1"/>
      <c r="U61" s="1">
        <f>U56+U57</f>
        <v>199.82007552909138</v>
      </c>
      <c r="V61" s="42"/>
    </row>
    <row r="62" spans="7:22" x14ac:dyDescent="0.3">
      <c r="G62" s="2">
        <v>0.57999999999999996</v>
      </c>
      <c r="H62" s="2" t="s">
        <v>176</v>
      </c>
      <c r="I62" s="2">
        <f>I61*G62</f>
        <v>209800.85558214769</v>
      </c>
      <c r="J62" s="2"/>
      <c r="K62" s="2">
        <f>K61*G62</f>
        <v>51295.480952376944</v>
      </c>
      <c r="L62" s="2"/>
      <c r="M62" s="2">
        <f>M61*G62</f>
        <v>19184.509876188975</v>
      </c>
      <c r="V62" s="24"/>
    </row>
    <row r="63" spans="7:22" x14ac:dyDescent="0.3">
      <c r="G63" s="3">
        <v>0.16</v>
      </c>
      <c r="H63" s="3" t="s">
        <v>177</v>
      </c>
      <c r="I63" s="3">
        <f>I61*G63</f>
        <v>57876.098091626947</v>
      </c>
      <c r="J63" s="3"/>
      <c r="K63" s="3">
        <f>K61*G63</f>
        <v>14150.477504103985</v>
      </c>
      <c r="L63" s="3"/>
      <c r="M63" s="3">
        <f>M61*G63</f>
        <v>5292.2785865348906</v>
      </c>
      <c r="V63" s="24"/>
    </row>
    <row r="64" spans="7:22" x14ac:dyDescent="0.3">
      <c r="V64" s="24"/>
    </row>
    <row r="65" spans="7:22" x14ac:dyDescent="0.3">
      <c r="H65" s="6" t="s">
        <v>6</v>
      </c>
      <c r="I65" s="8">
        <f>I52+I57</f>
        <v>723451.22614533687</v>
      </c>
      <c r="J65" s="8"/>
      <c r="K65" s="8">
        <f>K52+K57</f>
        <v>176880.96880129981</v>
      </c>
      <c r="L65" s="8"/>
      <c r="M65" s="9">
        <f>M52+M57</f>
        <v>66153.482331686129</v>
      </c>
      <c r="V65" s="24"/>
    </row>
    <row r="66" spans="7:22" x14ac:dyDescent="0.3">
      <c r="H66" s="13"/>
      <c r="I66" s="11"/>
      <c r="J66" s="11"/>
      <c r="K66" s="11"/>
      <c r="L66" s="11"/>
      <c r="M66" s="12"/>
      <c r="V66" s="24"/>
    </row>
    <row r="67" spans="7:22" x14ac:dyDescent="0.3">
      <c r="H67" s="16" t="s">
        <v>175</v>
      </c>
      <c r="I67" s="20">
        <f>I62+I63</f>
        <v>267676.95367377461</v>
      </c>
      <c r="J67" s="20"/>
      <c r="K67" s="20">
        <f>K62+K63</f>
        <v>65445.958456480927</v>
      </c>
      <c r="L67" s="20"/>
      <c r="M67" s="21">
        <f>M62+M63</f>
        <v>24476.788462723867</v>
      </c>
      <c r="V67" s="24"/>
    </row>
    <row r="68" spans="7:22" x14ac:dyDescent="0.3">
      <c r="V68" s="24"/>
    </row>
    <row r="69" spans="7:22" x14ac:dyDescent="0.3">
      <c r="G69" s="1" t="s">
        <v>79</v>
      </c>
      <c r="H69" s="1"/>
      <c r="I69" t="s">
        <v>70</v>
      </c>
      <c r="J69" t="s">
        <v>71</v>
      </c>
      <c r="K69" t="s">
        <v>73</v>
      </c>
      <c r="V69" s="24"/>
    </row>
    <row r="70" spans="7:22" x14ac:dyDescent="0.3">
      <c r="I70">
        <v>31305</v>
      </c>
      <c r="J70">
        <v>31305</v>
      </c>
      <c r="K70">
        <v>0.8</v>
      </c>
      <c r="L70" t="s">
        <v>28</v>
      </c>
      <c r="V70" s="24"/>
    </row>
    <row r="71" spans="7:22" x14ac:dyDescent="0.3">
      <c r="G71" t="s">
        <v>69</v>
      </c>
      <c r="H71" t="s">
        <v>74</v>
      </c>
      <c r="V71" s="24"/>
    </row>
    <row r="72" spans="7:22" x14ac:dyDescent="0.3">
      <c r="H72" t="s">
        <v>76</v>
      </c>
      <c r="I72">
        <v>3.9770453903084144</v>
      </c>
      <c r="K72">
        <v>0.97237189762281773</v>
      </c>
      <c r="M72">
        <v>0.36366708971093381</v>
      </c>
      <c r="V72" s="24"/>
    </row>
    <row r="73" spans="7:22" x14ac:dyDescent="0.3">
      <c r="I73" t="s">
        <v>0</v>
      </c>
      <c r="K73" t="s">
        <v>1</v>
      </c>
      <c r="M73" t="s">
        <v>2</v>
      </c>
      <c r="V73" s="24"/>
    </row>
    <row r="74" spans="7:22" x14ac:dyDescent="0.3">
      <c r="H74" t="s">
        <v>6</v>
      </c>
      <c r="I74">
        <f>I70*K70*I72</f>
        <v>99601.124754883931</v>
      </c>
      <c r="K74">
        <f>I70*K72*K70</f>
        <v>24352.081804065849</v>
      </c>
      <c r="M74">
        <f>M72*I70*K70</f>
        <v>9107.6785947206281</v>
      </c>
      <c r="V74" s="24"/>
    </row>
    <row r="75" spans="7:22" x14ac:dyDescent="0.3">
      <c r="V75" s="24"/>
    </row>
    <row r="76" spans="7:22" x14ac:dyDescent="0.3">
      <c r="G76">
        <f>A79</f>
        <v>0</v>
      </c>
      <c r="H76" t="s">
        <v>75</v>
      </c>
      <c r="V76" s="24"/>
    </row>
    <row r="77" spans="7:22" x14ac:dyDescent="0.3">
      <c r="G77" t="s">
        <v>71</v>
      </c>
      <c r="I77">
        <v>2.7458729539053262</v>
      </c>
      <c r="K77">
        <v>0.67135509726054154</v>
      </c>
      <c r="M77">
        <v>0.25108680637544256</v>
      </c>
      <c r="V77" s="24"/>
    </row>
    <row r="78" spans="7:22" x14ac:dyDescent="0.3">
      <c r="I78" t="s">
        <v>0</v>
      </c>
      <c r="K78" t="s">
        <v>1</v>
      </c>
      <c r="M78" t="s">
        <v>2</v>
      </c>
      <c r="V78" s="24"/>
    </row>
    <row r="79" spans="7:22" x14ac:dyDescent="0.3">
      <c r="H79" t="str">
        <f>H74</f>
        <v>Emissions</v>
      </c>
      <c r="I79">
        <f>I77*J70*K70</f>
        <v>68767.642257604995</v>
      </c>
      <c r="K79">
        <f>K77*J70*K70</f>
        <v>16813.417055793001</v>
      </c>
      <c r="M79">
        <f>M77*J70*K70</f>
        <v>6288.2179788665844</v>
      </c>
      <c r="V79" s="24"/>
    </row>
    <row r="80" spans="7:22" x14ac:dyDescent="0.3">
      <c r="V80" s="24"/>
    </row>
    <row r="81" spans="7:22" x14ac:dyDescent="0.3">
      <c r="G81" t="s">
        <v>36</v>
      </c>
      <c r="I81" t="s">
        <v>0</v>
      </c>
      <c r="K81" t="s">
        <v>1</v>
      </c>
      <c r="M81" t="s">
        <v>2</v>
      </c>
      <c r="V81" s="24"/>
    </row>
    <row r="82" spans="7:22" x14ac:dyDescent="0.3">
      <c r="H82" t="s">
        <v>6</v>
      </c>
      <c r="I82">
        <f>I74+I79</f>
        <v>168368.76701248891</v>
      </c>
      <c r="K82">
        <f>K74+K79</f>
        <v>41165.498859858853</v>
      </c>
      <c r="M82">
        <f>M74+M79</f>
        <v>15395.896573587212</v>
      </c>
      <c r="V82" s="24"/>
    </row>
    <row r="83" spans="7:22" x14ac:dyDescent="0.3">
      <c r="G83">
        <v>2</v>
      </c>
      <c r="H83" t="s">
        <v>15</v>
      </c>
      <c r="I83">
        <f>I82/G83</f>
        <v>84184.383506244456</v>
      </c>
      <c r="K83">
        <f>K82/G83</f>
        <v>20582.749429929427</v>
      </c>
      <c r="M83">
        <f>M82/G83</f>
        <v>7697.9482867936058</v>
      </c>
      <c r="V83" s="24"/>
    </row>
    <row r="84" spans="7:22" x14ac:dyDescent="0.3">
      <c r="G84" s="2">
        <v>0.57999999999999996</v>
      </c>
      <c r="H84" s="2" t="s">
        <v>176</v>
      </c>
      <c r="I84" s="2">
        <f>I83*G84</f>
        <v>48826.942433621778</v>
      </c>
      <c r="J84" s="2"/>
      <c r="K84" s="2">
        <f>K83*G84</f>
        <v>11937.994669359066</v>
      </c>
      <c r="L84" s="2"/>
      <c r="M84" s="2">
        <f>M83*G84</f>
        <v>4464.8100063402908</v>
      </c>
      <c r="V84" s="24"/>
    </row>
    <row r="85" spans="7:22" x14ac:dyDescent="0.3">
      <c r="G85" s="3">
        <v>0.16</v>
      </c>
      <c r="H85" s="3" t="s">
        <v>177</v>
      </c>
      <c r="I85" s="3">
        <f>I83*G85</f>
        <v>13469.501360999113</v>
      </c>
      <c r="J85" s="3"/>
      <c r="K85" s="3">
        <f>K83*G85</f>
        <v>3293.2399087887084</v>
      </c>
      <c r="L85" s="3"/>
      <c r="M85" s="3">
        <f>M83*G85</f>
        <v>1231.6717258869769</v>
      </c>
      <c r="V85" s="24"/>
    </row>
    <row r="86" spans="7:22" x14ac:dyDescent="0.3">
      <c r="V86" s="24"/>
    </row>
    <row r="87" spans="7:22" x14ac:dyDescent="0.3">
      <c r="H87" s="6" t="s">
        <v>6</v>
      </c>
      <c r="I87" s="8">
        <f>I82</f>
        <v>168368.76701248891</v>
      </c>
      <c r="J87" s="8"/>
      <c r="K87" s="8">
        <f>K82</f>
        <v>41165.498859858853</v>
      </c>
      <c r="L87" s="8"/>
      <c r="M87" s="9">
        <f>M82</f>
        <v>15395.896573587212</v>
      </c>
      <c r="V87" s="24"/>
    </row>
    <row r="88" spans="7:22" x14ac:dyDescent="0.3">
      <c r="H88" s="13"/>
      <c r="I88" s="11"/>
      <c r="J88" s="11"/>
      <c r="K88" s="11"/>
      <c r="L88" s="11"/>
      <c r="M88" s="12"/>
      <c r="V88" s="24"/>
    </row>
    <row r="89" spans="7:22" x14ac:dyDescent="0.3">
      <c r="H89" s="16" t="s">
        <v>175</v>
      </c>
      <c r="I89" s="20">
        <f>I84+I85</f>
        <v>62296.443794620893</v>
      </c>
      <c r="J89" s="20"/>
      <c r="K89" s="20">
        <f>K84+K85</f>
        <v>15231.234578147774</v>
      </c>
      <c r="L89" s="20"/>
      <c r="M89" s="21">
        <f>M84+M85</f>
        <v>5696.4817322272675</v>
      </c>
      <c r="V89" s="24"/>
    </row>
    <row r="90" spans="7:22" ht="15" thickBot="1" x14ac:dyDescent="0.35">
      <c r="V90" s="24"/>
    </row>
    <row r="91" spans="7:22" x14ac:dyDescent="0.3">
      <c r="G91" s="6" t="s">
        <v>84</v>
      </c>
      <c r="H91" s="7"/>
      <c r="I91" s="7"/>
      <c r="J91" s="7"/>
      <c r="K91" s="7"/>
      <c r="L91" s="7"/>
      <c r="M91" s="19"/>
      <c r="P91" s="37" t="s">
        <v>93</v>
      </c>
      <c r="Q91" s="38"/>
      <c r="R91" s="38"/>
      <c r="S91" s="38"/>
      <c r="T91" s="38"/>
      <c r="U91" s="39"/>
      <c r="V91" s="24"/>
    </row>
    <row r="92" spans="7:22" x14ac:dyDescent="0.3">
      <c r="G92" s="13"/>
      <c r="H92" s="11"/>
      <c r="I92" s="11" t="s">
        <v>0</v>
      </c>
      <c r="J92" s="11"/>
      <c r="K92" s="11" t="s">
        <v>1</v>
      </c>
      <c r="L92" s="11"/>
      <c r="M92" s="12" t="s">
        <v>2</v>
      </c>
      <c r="P92" s="40"/>
      <c r="Q92" s="11"/>
      <c r="R92" s="11"/>
      <c r="S92" s="11"/>
      <c r="T92" s="11"/>
      <c r="U92" s="24"/>
      <c r="V92" s="24"/>
    </row>
    <row r="93" spans="7:22" x14ac:dyDescent="0.3">
      <c r="G93" s="13"/>
      <c r="H93" s="14" t="s">
        <v>6</v>
      </c>
      <c r="I93" s="14">
        <f>I21+I43+I65+I87</f>
        <v>1665259.4786515641</v>
      </c>
      <c r="J93" s="14"/>
      <c r="K93" s="14">
        <f>K21+K43+K65+K87</f>
        <v>396643.65181781619</v>
      </c>
      <c r="L93" s="14"/>
      <c r="M93" s="15">
        <f>M21+M43+M65+M87</f>
        <v>148344.72577986325</v>
      </c>
      <c r="P93" s="40" t="s">
        <v>5</v>
      </c>
      <c r="Q93" s="11" t="s">
        <v>12</v>
      </c>
      <c r="R93" s="11"/>
      <c r="S93" s="11" t="s">
        <v>13</v>
      </c>
      <c r="T93" s="11"/>
      <c r="U93" s="24" t="s">
        <v>14</v>
      </c>
      <c r="V93" s="24"/>
    </row>
    <row r="94" spans="7:22" x14ac:dyDescent="0.3">
      <c r="G94" s="13"/>
      <c r="H94" s="11"/>
      <c r="I94" s="11"/>
      <c r="J94" s="11"/>
      <c r="K94" s="11"/>
      <c r="L94" s="11"/>
      <c r="M94" s="12"/>
      <c r="P94" s="40"/>
      <c r="Q94" s="11"/>
      <c r="R94" s="11"/>
      <c r="S94" s="11"/>
      <c r="T94" s="11"/>
      <c r="U94" s="24"/>
      <c r="V94" s="24"/>
    </row>
    <row r="95" spans="7:22" x14ac:dyDescent="0.3">
      <c r="G95" s="16"/>
      <c r="H95" s="20" t="s">
        <v>175</v>
      </c>
      <c r="I95" s="20">
        <f>I23+I45+I67+I89</f>
        <v>616146.00710107875</v>
      </c>
      <c r="J95" s="20"/>
      <c r="K95" s="20">
        <f>K23+K45+K67+K89</f>
        <v>150645.26635717807</v>
      </c>
      <c r="L95" s="20"/>
      <c r="M95" s="21">
        <f>M23+M45+M67+M89</f>
        <v>56341.329617584597</v>
      </c>
      <c r="P95" s="41" t="s">
        <v>6</v>
      </c>
      <c r="Q95" s="14">
        <f>I93+Q59</f>
        <v>1671165.4854330553</v>
      </c>
      <c r="R95" s="14"/>
      <c r="S95" s="14">
        <f>K93+S59</f>
        <v>398087.64716056146</v>
      </c>
      <c r="T95" s="14"/>
      <c r="U95" s="42">
        <f>M93+U59</f>
        <v>148884.78003804997</v>
      </c>
      <c r="V95" s="42"/>
    </row>
    <row r="96" spans="7:22" x14ac:dyDescent="0.3">
      <c r="P96" s="40"/>
      <c r="Q96" s="11"/>
      <c r="R96" s="11"/>
      <c r="S96" s="11"/>
      <c r="T96" s="11"/>
      <c r="U96" s="24"/>
      <c r="V96" s="24"/>
    </row>
    <row r="97" spans="16:22" ht="15" thickBot="1" x14ac:dyDescent="0.35">
      <c r="P97" s="43" t="s">
        <v>175</v>
      </c>
      <c r="Q97" s="44">
        <f>I95+Q61</f>
        <v>618331.22961023054</v>
      </c>
      <c r="R97" s="44"/>
      <c r="S97" s="44">
        <f>K95+S61</f>
        <v>151179.54463399382</v>
      </c>
      <c r="T97" s="44"/>
      <c r="U97" s="45">
        <f>M95+U61</f>
        <v>56541.149693113686</v>
      </c>
      <c r="V97" s="42"/>
    </row>
    <row r="98" spans="16:22" x14ac:dyDescent="0.3">
      <c r="V98" s="24"/>
    </row>
    <row r="99" spans="16:22" x14ac:dyDescent="0.3">
      <c r="V99" s="24"/>
    </row>
    <row r="100" spans="16:22" x14ac:dyDescent="0.3">
      <c r="V100" s="24"/>
    </row>
    <row r="101" spans="16:22" x14ac:dyDescent="0.3">
      <c r="V101" s="24"/>
    </row>
    <row r="102" spans="16:22" x14ac:dyDescent="0.3">
      <c r="V102" s="24"/>
    </row>
    <row r="103" spans="16:22" x14ac:dyDescent="0.3">
      <c r="V103" s="24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B4FD-1837-4C61-A54F-93B1E767DE61}">
  <dimension ref="A1:AK625"/>
  <sheetViews>
    <sheetView topLeftCell="S7" workbookViewId="0">
      <selection activeCell="AI29" sqref="AI29"/>
    </sheetView>
  </sheetViews>
  <sheetFormatPr defaultRowHeight="14.4" x14ac:dyDescent="0.3"/>
  <cols>
    <col min="1" max="1" width="13.109375" customWidth="1"/>
    <col min="2" max="2" width="5.5546875" customWidth="1"/>
    <col min="3" max="3" width="6.88671875" customWidth="1"/>
    <col min="4" max="4" width="18.33203125" customWidth="1"/>
    <col min="7" max="7" width="9.77734375" customWidth="1"/>
    <col min="8" max="8" width="7.21875" customWidth="1"/>
    <col min="9" max="9" width="15.109375" customWidth="1"/>
    <col min="16" max="16" width="12.44140625" customWidth="1"/>
    <col min="19" max="19" width="25.33203125" customWidth="1"/>
    <col min="24" max="24" width="15" customWidth="1"/>
    <col min="32" max="32" width="15.77734375" customWidth="1"/>
    <col min="34" max="34" width="11" customWidth="1"/>
    <col min="36" max="36" width="13.109375" customWidth="1"/>
  </cols>
  <sheetData>
    <row r="1" spans="1:37" x14ac:dyDescent="0.3">
      <c r="A1" s="1" t="s">
        <v>110</v>
      </c>
      <c r="D1" s="1" t="s">
        <v>52</v>
      </c>
      <c r="O1" s="50"/>
      <c r="P1" s="1" t="s">
        <v>123</v>
      </c>
      <c r="Q1" s="1" t="s">
        <v>52</v>
      </c>
      <c r="AD1" s="24"/>
      <c r="AF1" s="1" t="s">
        <v>53</v>
      </c>
    </row>
    <row r="2" spans="1:37" x14ac:dyDescent="0.3">
      <c r="F2" t="s">
        <v>132</v>
      </c>
      <c r="O2" s="50"/>
      <c r="U2" t="s">
        <v>132</v>
      </c>
      <c r="AD2" s="24"/>
    </row>
    <row r="3" spans="1:37" x14ac:dyDescent="0.3">
      <c r="F3" t="s">
        <v>106</v>
      </c>
      <c r="G3" s="4" t="s">
        <v>107</v>
      </c>
      <c r="O3" s="50"/>
      <c r="U3" t="s">
        <v>106</v>
      </c>
      <c r="AD3" s="24"/>
      <c r="AF3" s="1" t="s">
        <v>154</v>
      </c>
    </row>
    <row r="4" spans="1:37" x14ac:dyDescent="0.3">
      <c r="E4" t="s">
        <v>59</v>
      </c>
      <c r="F4" s="4">
        <v>32</v>
      </c>
      <c r="G4" t="s">
        <v>108</v>
      </c>
      <c r="I4" t="s">
        <v>112</v>
      </c>
      <c r="J4">
        <v>2.4124482610315177</v>
      </c>
      <c r="L4">
        <v>0.58983407612407723</v>
      </c>
      <c r="N4">
        <v>0.22059794447040487</v>
      </c>
      <c r="O4" s="50"/>
      <c r="T4" t="s">
        <v>21</v>
      </c>
      <c r="U4" s="4">
        <v>25</v>
      </c>
      <c r="AD4" s="24"/>
      <c r="AH4" t="s">
        <v>62</v>
      </c>
      <c r="AJ4" t="s">
        <v>155</v>
      </c>
    </row>
    <row r="5" spans="1:37" x14ac:dyDescent="0.3">
      <c r="A5" t="s">
        <v>94</v>
      </c>
      <c r="D5" t="s">
        <v>100</v>
      </c>
      <c r="E5">
        <v>9941.2455934195095</v>
      </c>
      <c r="F5">
        <v>310.66392479435967</v>
      </c>
      <c r="G5" s="4">
        <v>311</v>
      </c>
      <c r="J5" t="s">
        <v>0</v>
      </c>
      <c r="L5" t="s">
        <v>1</v>
      </c>
      <c r="N5" t="s">
        <v>2</v>
      </c>
      <c r="O5" s="50"/>
      <c r="P5" t="s">
        <v>94</v>
      </c>
      <c r="S5" t="s">
        <v>124</v>
      </c>
      <c r="T5">
        <v>31300</v>
      </c>
      <c r="U5">
        <v>1252</v>
      </c>
      <c r="X5" t="s">
        <v>112</v>
      </c>
      <c r="Y5">
        <v>2.2663388943235456</v>
      </c>
      <c r="AA5">
        <v>0.55411091276453572</v>
      </c>
      <c r="AC5">
        <v>0.20723748137393636</v>
      </c>
      <c r="AD5" s="24"/>
      <c r="AG5" t="s">
        <v>0</v>
      </c>
      <c r="AH5">
        <v>0.24449605226844334</v>
      </c>
      <c r="AI5" t="s">
        <v>1</v>
      </c>
      <c r="AJ5">
        <v>0.374</v>
      </c>
      <c r="AK5" t="s">
        <v>2</v>
      </c>
    </row>
    <row r="6" spans="1:37" x14ac:dyDescent="0.3">
      <c r="A6" t="s">
        <v>65</v>
      </c>
      <c r="B6">
        <v>15</v>
      </c>
      <c r="C6" t="s">
        <v>21</v>
      </c>
      <c r="D6" t="s">
        <v>101</v>
      </c>
      <c r="E6">
        <v>5851.93889541716</v>
      </c>
      <c r="F6">
        <v>182.87309048178625</v>
      </c>
      <c r="G6" s="4">
        <v>183</v>
      </c>
      <c r="I6" s="1" t="s">
        <v>30</v>
      </c>
      <c r="J6" s="1">
        <f>B15*G11*J4</f>
        <v>46608.500403128921</v>
      </c>
      <c r="K6" s="1"/>
      <c r="L6" s="1">
        <f>B15*G11*L4</f>
        <v>11395.594350717172</v>
      </c>
      <c r="M6" s="1"/>
      <c r="N6" s="1">
        <f>B15*G11*N4</f>
        <v>4261.952287168222</v>
      </c>
      <c r="O6" s="50"/>
      <c r="P6" t="s">
        <v>65</v>
      </c>
      <c r="Q6">
        <v>15</v>
      </c>
      <c r="R6" t="s">
        <v>21</v>
      </c>
      <c r="S6" t="s">
        <v>125</v>
      </c>
      <c r="T6">
        <v>32400</v>
      </c>
      <c r="U6">
        <v>1296</v>
      </c>
      <c r="Y6" t="s">
        <v>0</v>
      </c>
      <c r="AA6" t="s">
        <v>1</v>
      </c>
      <c r="AC6" t="s">
        <v>2</v>
      </c>
      <c r="AD6" s="24"/>
      <c r="AG6">
        <v>108175</v>
      </c>
      <c r="AI6">
        <f>AG6*AH5</f>
        <v>26448.360454138859</v>
      </c>
      <c r="AK6">
        <f>AI6*AJ5</f>
        <v>9891.6868098479335</v>
      </c>
    </row>
    <row r="7" spans="1:37" x14ac:dyDescent="0.3">
      <c r="A7" t="s">
        <v>95</v>
      </c>
      <c r="B7">
        <v>4</v>
      </c>
      <c r="C7" t="s">
        <v>21</v>
      </c>
      <c r="D7" t="s">
        <v>102</v>
      </c>
      <c r="E7">
        <v>9553.4665099882495</v>
      </c>
      <c r="F7">
        <v>298.5458284371328</v>
      </c>
      <c r="G7" s="4">
        <v>299</v>
      </c>
      <c r="O7" s="50"/>
      <c r="P7" t="s">
        <v>95</v>
      </c>
      <c r="Q7">
        <v>4</v>
      </c>
      <c r="R7" t="s">
        <v>21</v>
      </c>
      <c r="S7" t="s">
        <v>126</v>
      </c>
      <c r="T7">
        <v>45000</v>
      </c>
      <c r="U7">
        <v>1800</v>
      </c>
      <c r="X7" s="1" t="s">
        <v>30</v>
      </c>
      <c r="Y7" s="1">
        <f>Q15*U16*Y5</f>
        <v>265919.74099600606</v>
      </c>
      <c r="Z7" s="1"/>
      <c r="AA7" s="1">
        <f>Q15*U16*AA5</f>
        <v>65016.32689377042</v>
      </c>
      <c r="AB7" s="1"/>
      <c r="AC7" s="1">
        <f>Q15*U16*AC5</f>
        <v>24316.106258270134</v>
      </c>
      <c r="AD7" s="24"/>
      <c r="AG7">
        <v>108175</v>
      </c>
      <c r="AI7">
        <v>26448.360454138859</v>
      </c>
      <c r="AK7">
        <v>9891.6868098479335</v>
      </c>
    </row>
    <row r="8" spans="1:37" x14ac:dyDescent="0.3">
      <c r="A8" t="s">
        <v>96</v>
      </c>
      <c r="B8">
        <v>3</v>
      </c>
      <c r="C8" t="s">
        <v>21</v>
      </c>
      <c r="D8" t="s">
        <v>103</v>
      </c>
      <c r="E8">
        <v>4653.3490011750901</v>
      </c>
      <c r="F8">
        <v>145.41715628672156</v>
      </c>
      <c r="G8" s="4">
        <v>146</v>
      </c>
      <c r="O8" s="50"/>
      <c r="P8" t="s">
        <v>96</v>
      </c>
      <c r="Q8">
        <v>3</v>
      </c>
      <c r="R8" t="s">
        <v>21</v>
      </c>
      <c r="S8" t="s">
        <v>127</v>
      </c>
      <c r="T8">
        <v>60800</v>
      </c>
      <c r="U8">
        <v>2432</v>
      </c>
      <c r="AD8" s="24"/>
      <c r="AG8">
        <v>108175</v>
      </c>
      <c r="AI8">
        <v>26448.360454138859</v>
      </c>
      <c r="AK8">
        <v>9891.6868098479335</v>
      </c>
    </row>
    <row r="9" spans="1:37" x14ac:dyDescent="0.3">
      <c r="B9">
        <f>SUM(B6:B8)</f>
        <v>22</v>
      </c>
      <c r="D9" t="s">
        <v>104</v>
      </c>
      <c r="E9">
        <v>15000</v>
      </c>
      <c r="F9">
        <v>468.75</v>
      </c>
      <c r="G9" s="4">
        <v>469</v>
      </c>
      <c r="O9" s="50"/>
      <c r="Q9">
        <v>22</v>
      </c>
      <c r="S9" t="s">
        <v>128</v>
      </c>
      <c r="T9">
        <f>U9*U4</f>
        <v>15375</v>
      </c>
      <c r="U9">
        <v>615</v>
      </c>
      <c r="AD9" s="24"/>
      <c r="AG9">
        <v>108175</v>
      </c>
      <c r="AI9">
        <v>26448.360454138859</v>
      </c>
      <c r="AK9">
        <v>9891.6868098479335</v>
      </c>
    </row>
    <row r="10" spans="1:37" x14ac:dyDescent="0.3">
      <c r="A10" t="s">
        <v>119</v>
      </c>
      <c r="D10" s="17" t="s">
        <v>105</v>
      </c>
      <c r="E10" s="17">
        <v>8700</v>
      </c>
      <c r="F10" s="17">
        <v>271.875</v>
      </c>
      <c r="G10" s="48">
        <v>272</v>
      </c>
      <c r="O10" s="50"/>
      <c r="P10" t="s">
        <v>119</v>
      </c>
      <c r="S10" t="s">
        <v>129</v>
      </c>
      <c r="T10">
        <f>U4*U10</f>
        <v>1850</v>
      </c>
      <c r="U10">
        <v>74</v>
      </c>
      <c r="AD10" s="24"/>
    </row>
    <row r="11" spans="1:37" x14ac:dyDescent="0.3">
      <c r="A11" t="s">
        <v>98</v>
      </c>
      <c r="D11" t="s">
        <v>109</v>
      </c>
      <c r="E11">
        <f>SUM(E5:E10)</f>
        <v>53700.000000000007</v>
      </c>
      <c r="G11" s="4">
        <f>SUM(G5:G10)</f>
        <v>1680</v>
      </c>
      <c r="O11" s="50"/>
      <c r="P11" t="s">
        <v>98</v>
      </c>
      <c r="S11" t="s">
        <v>129</v>
      </c>
      <c r="T11">
        <f>U11*U4</f>
        <v>3600</v>
      </c>
      <c r="U11">
        <v>144</v>
      </c>
      <c r="AD11" s="24"/>
      <c r="AF11" t="s">
        <v>6</v>
      </c>
      <c r="AG11" s="1">
        <f>SUM(AG6:AG10)</f>
        <v>432700</v>
      </c>
      <c r="AH11" s="1"/>
      <c r="AI11" s="1">
        <f>SUM(AI6:AI10)</f>
        <v>105793.44181655544</v>
      </c>
      <c r="AJ11" s="1"/>
      <c r="AK11" s="1">
        <f>SUM(AK6:AK10)</f>
        <v>39566.747239391734</v>
      </c>
    </row>
    <row r="12" spans="1:37" x14ac:dyDescent="0.3">
      <c r="A12" t="s">
        <v>97</v>
      </c>
      <c r="B12">
        <v>7</v>
      </c>
      <c r="C12" t="s">
        <v>21</v>
      </c>
      <c r="O12" s="50"/>
      <c r="P12" t="s">
        <v>97</v>
      </c>
      <c r="Q12">
        <v>7</v>
      </c>
      <c r="R12" t="s">
        <v>21</v>
      </c>
      <c r="S12" t="s">
        <v>129</v>
      </c>
      <c r="T12">
        <f>U12*U4</f>
        <v>12825</v>
      </c>
      <c r="U12">
        <v>513</v>
      </c>
      <c r="AD12" s="24"/>
      <c r="AE12">
        <v>2</v>
      </c>
      <c r="AF12" t="s">
        <v>15</v>
      </c>
      <c r="AG12">
        <f>AG11/AE12</f>
        <v>216350</v>
      </c>
      <c r="AI12">
        <f>AI11/AE12</f>
        <v>52896.720908277719</v>
      </c>
      <c r="AK12">
        <f>AK11/AE12</f>
        <v>19783.373619695867</v>
      </c>
    </row>
    <row r="13" spans="1:37" x14ac:dyDescent="0.3">
      <c r="B13">
        <f>B6+B8+B12</f>
        <v>25</v>
      </c>
      <c r="D13" t="s">
        <v>111</v>
      </c>
      <c r="G13">
        <f>B9+F4</f>
        <v>54</v>
      </c>
      <c r="H13" t="s">
        <v>21</v>
      </c>
      <c r="O13" s="50"/>
      <c r="Q13">
        <v>25</v>
      </c>
      <c r="S13" t="s">
        <v>130</v>
      </c>
      <c r="T13">
        <f>U13*U4</f>
        <v>5275</v>
      </c>
      <c r="U13">
        <v>211</v>
      </c>
      <c r="AD13" s="24"/>
      <c r="AE13" s="2">
        <v>0.57999999999999996</v>
      </c>
      <c r="AF13" s="2" t="s">
        <v>178</v>
      </c>
      <c r="AG13" s="2">
        <f>AG12*AE13</f>
        <v>125482.99999999999</v>
      </c>
      <c r="AH13" s="2"/>
      <c r="AI13" s="2">
        <f>AI12*AE13</f>
        <v>30680.098126801076</v>
      </c>
      <c r="AJ13" s="2"/>
      <c r="AK13" s="2">
        <f>AK12*AE13</f>
        <v>11474.356699423603</v>
      </c>
    </row>
    <row r="14" spans="1:37" x14ac:dyDescent="0.3">
      <c r="O14" s="50"/>
      <c r="S14" t="s">
        <v>131</v>
      </c>
      <c r="T14">
        <f>U14*U4</f>
        <v>46650</v>
      </c>
      <c r="U14">
        <v>1866</v>
      </c>
      <c r="AD14" s="24"/>
      <c r="AE14" s="3">
        <v>0.16</v>
      </c>
      <c r="AF14" s="3" t="s">
        <v>177</v>
      </c>
      <c r="AG14" s="3">
        <f>AG12*AE14</f>
        <v>34616</v>
      </c>
      <c r="AH14" s="3"/>
      <c r="AI14" s="3">
        <f>AI12*AE14</f>
        <v>8463.4753453244357</v>
      </c>
      <c r="AJ14" s="3"/>
      <c r="AK14" s="3">
        <f>AK12*AE14</f>
        <v>3165.3397791513389</v>
      </c>
    </row>
    <row r="15" spans="1:37" x14ac:dyDescent="0.3">
      <c r="A15" t="s">
        <v>99</v>
      </c>
      <c r="B15">
        <v>11.5</v>
      </c>
      <c r="C15" t="s">
        <v>28</v>
      </c>
      <c r="D15" t="s">
        <v>113</v>
      </c>
      <c r="E15">
        <v>500</v>
      </c>
      <c r="G15">
        <v>40</v>
      </c>
      <c r="I15" t="s">
        <v>112</v>
      </c>
      <c r="J15">
        <v>2.177417058775859</v>
      </c>
      <c r="L15">
        <v>0.53236987501266264</v>
      </c>
      <c r="N15">
        <v>0.19910633325473584</v>
      </c>
      <c r="O15" s="50"/>
      <c r="P15" t="s">
        <v>99</v>
      </c>
      <c r="Q15">
        <v>11.5</v>
      </c>
      <c r="R15" t="s">
        <v>28</v>
      </c>
      <c r="AD15" s="24"/>
    </row>
    <row r="16" spans="1:37" x14ac:dyDescent="0.3">
      <c r="J16" t="s">
        <v>0</v>
      </c>
      <c r="L16" t="s">
        <v>1</v>
      </c>
      <c r="N16" t="s">
        <v>2</v>
      </c>
      <c r="O16" s="50"/>
      <c r="S16" t="s">
        <v>133</v>
      </c>
      <c r="U16">
        <f>SUM(U5:U15)</f>
        <v>10203</v>
      </c>
      <c r="AD16" s="24"/>
    </row>
    <row r="17" spans="1:37" x14ac:dyDescent="0.3">
      <c r="A17" t="s">
        <v>117</v>
      </c>
      <c r="D17" t="s">
        <v>111</v>
      </c>
      <c r="G17">
        <f>B19+B12+B6+(E15/G15)</f>
        <v>43</v>
      </c>
      <c r="H17" t="s">
        <v>21</v>
      </c>
      <c r="I17" s="1" t="s">
        <v>30</v>
      </c>
      <c r="J17" s="1">
        <f>B15*G15*J15</f>
        <v>1001.6118470368951</v>
      </c>
      <c r="K17" s="1"/>
      <c r="L17" s="1">
        <f>B15*G15*L15</f>
        <v>244.89014250582483</v>
      </c>
      <c r="M17" s="1"/>
      <c r="N17" s="1">
        <f>B15*G15*N15</f>
        <v>91.588913297178493</v>
      </c>
      <c r="O17" s="50"/>
      <c r="AD17" s="24"/>
      <c r="AF17" s="11"/>
      <c r="AG17" s="11"/>
      <c r="AH17" s="11"/>
      <c r="AI17" s="11"/>
      <c r="AJ17" s="11"/>
      <c r="AK17" s="11"/>
    </row>
    <row r="18" spans="1:37" x14ac:dyDescent="0.3">
      <c r="A18" t="s">
        <v>115</v>
      </c>
      <c r="O18" s="50"/>
      <c r="P18" t="s">
        <v>135</v>
      </c>
      <c r="S18" t="s">
        <v>111</v>
      </c>
      <c r="U18">
        <v>47</v>
      </c>
      <c r="V18" t="s">
        <v>21</v>
      </c>
      <c r="AD18" s="24"/>
      <c r="AF18" s="11"/>
      <c r="AG18" s="11"/>
      <c r="AH18" s="11"/>
      <c r="AI18" s="11"/>
      <c r="AJ18" s="11"/>
      <c r="AK18" s="11"/>
    </row>
    <row r="19" spans="1:37" x14ac:dyDescent="0.3">
      <c r="A19" t="s">
        <v>116</v>
      </c>
      <c r="B19">
        <v>8.5</v>
      </c>
      <c r="C19" t="s">
        <v>21</v>
      </c>
      <c r="D19" t="s">
        <v>114</v>
      </c>
      <c r="E19">
        <v>11212</v>
      </c>
      <c r="F19">
        <v>23.31</v>
      </c>
      <c r="G19">
        <v>481</v>
      </c>
      <c r="I19" t="s">
        <v>112</v>
      </c>
      <c r="J19">
        <v>2.229298090379606</v>
      </c>
      <c r="L19">
        <v>0.54505458242739313</v>
      </c>
      <c r="N19">
        <v>0.20385041382784502</v>
      </c>
      <c r="O19" s="50"/>
      <c r="P19" t="s">
        <v>134</v>
      </c>
      <c r="AD19" s="24"/>
      <c r="AF19" s="14"/>
      <c r="AG19" s="14"/>
      <c r="AH19" s="14"/>
      <c r="AI19" s="14"/>
      <c r="AJ19" s="14"/>
      <c r="AK19" s="14"/>
    </row>
    <row r="20" spans="1:37" x14ac:dyDescent="0.3">
      <c r="A20" t="s">
        <v>81</v>
      </c>
      <c r="J20" t="s">
        <v>0</v>
      </c>
      <c r="L20" t="s">
        <v>1</v>
      </c>
      <c r="N20" t="s">
        <v>2</v>
      </c>
      <c r="O20" s="50"/>
      <c r="P20" t="s">
        <v>81</v>
      </c>
      <c r="Q20">
        <v>11</v>
      </c>
      <c r="R20" t="s">
        <v>21</v>
      </c>
      <c r="AD20" s="24"/>
      <c r="AF20" s="11"/>
      <c r="AG20" s="11"/>
      <c r="AH20" s="11"/>
      <c r="AI20" s="11"/>
      <c r="AJ20" s="11"/>
      <c r="AK20" s="11"/>
    </row>
    <row r="21" spans="1:37" ht="17.399999999999999" x14ac:dyDescent="0.3">
      <c r="D21" t="s">
        <v>111</v>
      </c>
      <c r="G21">
        <f>B9+F19</f>
        <v>45.31</v>
      </c>
      <c r="H21" t="s">
        <v>21</v>
      </c>
      <c r="I21" s="1" t="s">
        <v>30</v>
      </c>
      <c r="J21" s="1">
        <f>B15*G19*J19</f>
        <v>12331.36238693479</v>
      </c>
      <c r="K21" s="1"/>
      <c r="L21" s="1">
        <f>B15*G19*L19</f>
        <v>3014.9694226971251</v>
      </c>
      <c r="M21" s="1"/>
      <c r="N21" s="1">
        <f>B15*G19*N19</f>
        <v>1127.5985640887247</v>
      </c>
      <c r="O21" s="50"/>
      <c r="P21" t="s">
        <v>136</v>
      </c>
      <c r="Q21">
        <v>30</v>
      </c>
      <c r="R21" s="52" t="s">
        <v>138</v>
      </c>
      <c r="AD21" s="24"/>
      <c r="AF21" s="14"/>
      <c r="AG21" s="14"/>
      <c r="AH21" s="14"/>
      <c r="AI21" s="14"/>
      <c r="AJ21" s="14"/>
      <c r="AK21" s="14"/>
    </row>
    <row r="22" spans="1:37" x14ac:dyDescent="0.3">
      <c r="A22" t="s">
        <v>120</v>
      </c>
      <c r="O22" s="50"/>
      <c r="AD22" s="24"/>
    </row>
    <row r="23" spans="1:37" x14ac:dyDescent="0.3">
      <c r="A23" t="s">
        <v>81</v>
      </c>
      <c r="B23">
        <v>13</v>
      </c>
      <c r="C23" t="s">
        <v>21</v>
      </c>
      <c r="F23">
        <v>2</v>
      </c>
      <c r="O23" s="50"/>
      <c r="P23" t="s">
        <v>141</v>
      </c>
      <c r="X23" t="s">
        <v>112</v>
      </c>
      <c r="Y23">
        <v>2.022612118689795</v>
      </c>
      <c r="AA23">
        <v>0.49452067828996699</v>
      </c>
      <c r="AC23">
        <v>0.18495073368044765</v>
      </c>
      <c r="AD23" s="24"/>
    </row>
    <row r="24" spans="1:37" ht="17.399999999999999" x14ac:dyDescent="0.3">
      <c r="D24" t="s">
        <v>118</v>
      </c>
      <c r="E24">
        <f>G11+G19+1</f>
        <v>2162</v>
      </c>
      <c r="F24">
        <f>E24/F23</f>
        <v>1081</v>
      </c>
      <c r="G24">
        <f>B8+B8+B12+B6</f>
        <v>28</v>
      </c>
      <c r="I24" t="s">
        <v>112</v>
      </c>
      <c r="J24">
        <v>1.795154905277311</v>
      </c>
      <c r="L24">
        <v>0.43890828755063394</v>
      </c>
      <c r="N24">
        <v>0.1641516995439371</v>
      </c>
      <c r="O24" s="50"/>
      <c r="P24" t="s">
        <v>139</v>
      </c>
      <c r="Q24">
        <v>0.85</v>
      </c>
      <c r="R24" s="52" t="s">
        <v>140</v>
      </c>
      <c r="Y24" t="s">
        <v>0</v>
      </c>
      <c r="AA24" t="s">
        <v>1</v>
      </c>
      <c r="AC24" t="s">
        <v>2</v>
      </c>
      <c r="AD24" s="24"/>
      <c r="AF24" s="22" t="s">
        <v>154</v>
      </c>
      <c r="AG24" s="7"/>
      <c r="AH24" s="7"/>
      <c r="AI24" s="7"/>
      <c r="AJ24" s="7"/>
      <c r="AK24" s="19"/>
    </row>
    <row r="25" spans="1:37" ht="16.2" x14ac:dyDescent="0.3">
      <c r="J25" t="s">
        <v>0</v>
      </c>
      <c r="L25" t="s">
        <v>1</v>
      </c>
      <c r="N25" t="s">
        <v>2</v>
      </c>
      <c r="O25" s="50"/>
      <c r="P25">
        <v>5607</v>
      </c>
      <c r="Q25" t="s">
        <v>143</v>
      </c>
      <c r="R25" s="51">
        <f>P25/Q24</f>
        <v>6596.4705882352946</v>
      </c>
      <c r="S25" t="s">
        <v>137</v>
      </c>
      <c r="X25" s="1" t="s">
        <v>30</v>
      </c>
      <c r="Y25" s="1">
        <f>R26*Q15*Y23</f>
        <v>5117.2086602851814</v>
      </c>
      <c r="Z25" s="1"/>
      <c r="AA25" s="1">
        <f>R26*Q15*AA23</f>
        <v>1251.1373160736164</v>
      </c>
      <c r="AB25" s="1"/>
      <c r="AC25" s="1">
        <f>R26*Q15*AC23</f>
        <v>467.92535621153257</v>
      </c>
      <c r="AD25" s="24"/>
      <c r="AF25" s="13" t="s">
        <v>5</v>
      </c>
      <c r="AG25" s="11" t="s">
        <v>12</v>
      </c>
      <c r="AH25" s="11"/>
      <c r="AI25" s="11" t="s">
        <v>13</v>
      </c>
      <c r="AJ25" s="11"/>
      <c r="AK25" s="12" t="s">
        <v>14</v>
      </c>
    </row>
    <row r="26" spans="1:37" x14ac:dyDescent="0.3">
      <c r="I26" s="1" t="s">
        <v>30</v>
      </c>
      <c r="J26" s="1">
        <f>B15*F24*J24</f>
        <v>22316.468204954894</v>
      </c>
      <c r="K26" s="1"/>
      <c r="L26" s="1">
        <f>B15*F24*L24</f>
        <v>5456.2883766857058</v>
      </c>
      <c r="M26" s="1"/>
      <c r="N26" s="1">
        <f>B15*F24*N24</f>
        <v>2040.651852880454</v>
      </c>
      <c r="O26" s="50"/>
      <c r="P26" t="s">
        <v>144</v>
      </c>
      <c r="Q26">
        <f>R25/Q21</f>
        <v>219.88235294117649</v>
      </c>
      <c r="R26">
        <v>220</v>
      </c>
      <c r="AD26" s="24"/>
      <c r="AF26" s="10" t="s">
        <v>6</v>
      </c>
      <c r="AG26" s="14">
        <v>432700</v>
      </c>
      <c r="AH26" s="14"/>
      <c r="AI26" s="14">
        <v>105793.44181655544</v>
      </c>
      <c r="AJ26" s="14"/>
      <c r="AK26" s="15">
        <v>39566.747239391734</v>
      </c>
    </row>
    <row r="27" spans="1:37" x14ac:dyDescent="0.3">
      <c r="O27" s="50"/>
      <c r="P27" t="s">
        <v>145</v>
      </c>
      <c r="AD27" s="24"/>
      <c r="AF27" s="10"/>
      <c r="AG27" s="14"/>
      <c r="AH27" s="14"/>
      <c r="AI27" s="14"/>
      <c r="AJ27" s="14"/>
      <c r="AK27" s="15"/>
    </row>
    <row r="28" spans="1:37" x14ac:dyDescent="0.3">
      <c r="D28" t="s">
        <v>121</v>
      </c>
      <c r="E28">
        <v>40</v>
      </c>
      <c r="F28">
        <v>20</v>
      </c>
      <c r="G28">
        <v>45</v>
      </c>
      <c r="I28" t="s">
        <v>112</v>
      </c>
      <c r="J28">
        <v>2.2224215889901804</v>
      </c>
      <c r="L28">
        <v>0.54337330498426006</v>
      </c>
      <c r="N28">
        <v>0.20322161606411326</v>
      </c>
      <c r="O28" s="50"/>
      <c r="P28" t="s">
        <v>146</v>
      </c>
      <c r="Q28">
        <f>Q21*Q24+Q20</f>
        <v>36.5</v>
      </c>
      <c r="R28" t="s">
        <v>21</v>
      </c>
      <c r="AD28" s="24"/>
      <c r="AF28" s="23" t="s">
        <v>175</v>
      </c>
      <c r="AG28" s="20">
        <v>160099</v>
      </c>
      <c r="AH28" s="20"/>
      <c r="AI28" s="20">
        <v>39143.573472125499</v>
      </c>
      <c r="AJ28" s="20"/>
      <c r="AK28" s="21">
        <v>14639.696478574941</v>
      </c>
    </row>
    <row r="29" spans="1:37" x14ac:dyDescent="0.3">
      <c r="J29" t="s">
        <v>0</v>
      </c>
      <c r="L29" t="s">
        <v>1</v>
      </c>
      <c r="N29" t="s">
        <v>2</v>
      </c>
      <c r="O29" s="50"/>
      <c r="AD29" s="24"/>
    </row>
    <row r="30" spans="1:37" x14ac:dyDescent="0.3">
      <c r="I30" s="1" t="s">
        <v>30</v>
      </c>
      <c r="J30" s="1">
        <f>B15*F28*J28</f>
        <v>511.15696546774149</v>
      </c>
      <c r="K30" s="1"/>
      <c r="L30" s="1">
        <f>B15*F28*L28</f>
        <v>124.97586014637982</v>
      </c>
      <c r="M30" s="1"/>
      <c r="N30" s="1">
        <f>B15*F28*N28</f>
        <v>46.740971694746051</v>
      </c>
      <c r="O30" s="50"/>
      <c r="AD30" s="24"/>
    </row>
    <row r="31" spans="1:37" x14ac:dyDescent="0.3">
      <c r="O31" s="50"/>
      <c r="P31" t="s">
        <v>147</v>
      </c>
      <c r="X31" t="s">
        <v>112</v>
      </c>
      <c r="Y31">
        <v>2.1312458543174264</v>
      </c>
      <c r="AA31">
        <v>0.52108119779409667</v>
      </c>
      <c r="AC31">
        <v>0.19488436797499215</v>
      </c>
      <c r="AD31" s="24"/>
    </row>
    <row r="32" spans="1:37" ht="17.399999999999999" x14ac:dyDescent="0.3">
      <c r="O32" s="50"/>
      <c r="P32" t="s">
        <v>142</v>
      </c>
      <c r="Q32">
        <v>1</v>
      </c>
      <c r="R32" s="52" t="s">
        <v>140</v>
      </c>
      <c r="Y32" t="s">
        <v>0</v>
      </c>
      <c r="AA32" t="s">
        <v>1</v>
      </c>
      <c r="AC32" t="s">
        <v>2</v>
      </c>
      <c r="AD32" s="24"/>
    </row>
    <row r="33" spans="8:30" x14ac:dyDescent="0.3">
      <c r="I33" t="s">
        <v>122</v>
      </c>
      <c r="O33" s="50"/>
      <c r="P33">
        <v>36990</v>
      </c>
      <c r="Q33" t="s">
        <v>21</v>
      </c>
      <c r="X33" s="1" t="s">
        <v>30</v>
      </c>
      <c r="Y33" s="1">
        <f>Q34*Q15*Y31</f>
        <v>30220.000591293949</v>
      </c>
      <c r="Z33" s="1"/>
      <c r="AA33" s="1">
        <f>Q34*Q15*AA31</f>
        <v>7388.6708441213941</v>
      </c>
      <c r="AB33" s="1"/>
      <c r="AC33" s="1">
        <f>Q34*Q15*AC31</f>
        <v>2763.3628957014012</v>
      </c>
      <c r="AD33" s="24"/>
    </row>
    <row r="34" spans="8:30" x14ac:dyDescent="0.3">
      <c r="O34" s="50"/>
      <c r="P34" t="s">
        <v>144</v>
      </c>
      <c r="Q34">
        <f>P33/Q21</f>
        <v>1233</v>
      </c>
      <c r="AD34" s="24"/>
    </row>
    <row r="35" spans="8:30" x14ac:dyDescent="0.3">
      <c r="J35" t="s">
        <v>0</v>
      </c>
      <c r="L35" t="s">
        <v>1</v>
      </c>
      <c r="N35" t="s">
        <v>2</v>
      </c>
      <c r="O35" s="50"/>
      <c r="P35" t="s">
        <v>145</v>
      </c>
      <c r="AD35" s="24"/>
    </row>
    <row r="36" spans="8:30" x14ac:dyDescent="0.3">
      <c r="I36" s="1" t="s">
        <v>30</v>
      </c>
      <c r="J36" s="1">
        <f>J6+J17+J21+J26+J30</f>
        <v>82769.099807523235</v>
      </c>
      <c r="K36" s="1"/>
      <c r="L36" s="1">
        <f>L6+L17+L21+L26+L30</f>
        <v>20236.718152752208</v>
      </c>
      <c r="M36" s="1"/>
      <c r="N36" s="1">
        <f>N6+N17+N21+N26+N30</f>
        <v>7568.5325891293251</v>
      </c>
      <c r="O36" s="50"/>
      <c r="P36" t="s">
        <v>146</v>
      </c>
      <c r="Q36">
        <f>Q21+Q20</f>
        <v>41</v>
      </c>
      <c r="R36" t="s">
        <v>21</v>
      </c>
      <c r="AD36" s="24"/>
    </row>
    <row r="37" spans="8:30" x14ac:dyDescent="0.3">
      <c r="H37">
        <v>2</v>
      </c>
      <c r="I37" t="s">
        <v>15</v>
      </c>
      <c r="J37">
        <f>J36/H37</f>
        <v>41384.549903761617</v>
      </c>
      <c r="L37">
        <f>L36/H37</f>
        <v>10118.359076376104</v>
      </c>
      <c r="N37">
        <f>N36/H37</f>
        <v>3784.2662945646625</v>
      </c>
      <c r="O37" s="50"/>
      <c r="AD37" s="24"/>
    </row>
    <row r="38" spans="8:30" x14ac:dyDescent="0.3">
      <c r="H38" s="2">
        <v>0.57999999999999996</v>
      </c>
      <c r="I38" s="2" t="s">
        <v>178</v>
      </c>
      <c r="J38" s="2">
        <f>H38*J37</f>
        <v>24003.038944181735</v>
      </c>
      <c r="K38" s="2"/>
      <c r="L38" s="2">
        <f>L37*H38</f>
        <v>5868.64826429814</v>
      </c>
      <c r="M38" s="2"/>
      <c r="N38" s="2">
        <f>N37*H38</f>
        <v>2194.8744508475042</v>
      </c>
      <c r="O38" s="50"/>
      <c r="P38" t="s">
        <v>148</v>
      </c>
      <c r="Q38">
        <f>Q34+R26</f>
        <v>1453</v>
      </c>
      <c r="X38" t="s">
        <v>112</v>
      </c>
      <c r="Y38">
        <v>1.1789829494802193</v>
      </c>
      <c r="AA38">
        <v>0.28825667683971923</v>
      </c>
      <c r="AC38">
        <v>0.10780799713805499</v>
      </c>
      <c r="AD38" s="24"/>
    </row>
    <row r="39" spans="8:30" x14ac:dyDescent="0.3">
      <c r="H39" s="3">
        <v>0.16</v>
      </c>
      <c r="I39" s="3" t="s">
        <v>177</v>
      </c>
      <c r="J39" s="3">
        <f>H39*J37</f>
        <v>6621.5279846018593</v>
      </c>
      <c r="K39" s="3"/>
      <c r="L39" s="3">
        <f>L37*H39</f>
        <v>1618.9374522201767</v>
      </c>
      <c r="M39" s="3"/>
      <c r="N39" s="3">
        <f>N37*H39</f>
        <v>605.48260713034597</v>
      </c>
      <c r="O39" s="50"/>
      <c r="Y39" t="s">
        <v>0</v>
      </c>
      <c r="AA39" t="s">
        <v>1</v>
      </c>
      <c r="AC39" t="s">
        <v>2</v>
      </c>
      <c r="AD39" s="24"/>
    </row>
    <row r="40" spans="8:30" x14ac:dyDescent="0.3">
      <c r="O40" s="50"/>
      <c r="X40" s="1" t="s">
        <v>30</v>
      </c>
      <c r="Y40" s="1">
        <f>Q38*Q15*Y38</f>
        <v>19700.215594339723</v>
      </c>
      <c r="Z40" s="1"/>
      <c r="AA40" s="1">
        <f>Q38*Q15*AA38</f>
        <v>4816.6249416532883</v>
      </c>
      <c r="AB40" s="1"/>
      <c r="AC40" s="1">
        <f>Q38*Q15*AC38</f>
        <v>1801.4177281783298</v>
      </c>
      <c r="AD40" s="24"/>
    </row>
    <row r="41" spans="8:30" x14ac:dyDescent="0.3">
      <c r="I41" s="6" t="s">
        <v>153</v>
      </c>
      <c r="J41" s="7"/>
      <c r="K41" s="7"/>
      <c r="L41" s="7"/>
      <c r="M41" s="7"/>
      <c r="N41" s="19"/>
      <c r="O41" s="50"/>
      <c r="AD41" s="24"/>
    </row>
    <row r="42" spans="8:30" x14ac:dyDescent="0.3">
      <c r="I42" s="13"/>
      <c r="J42" s="11" t="s">
        <v>0</v>
      </c>
      <c r="K42" s="11"/>
      <c r="L42" s="11" t="s">
        <v>1</v>
      </c>
      <c r="M42" s="11"/>
      <c r="N42" s="12" t="s">
        <v>2</v>
      </c>
      <c r="O42" s="50"/>
      <c r="AD42" s="24"/>
    </row>
    <row r="43" spans="8:30" x14ac:dyDescent="0.3">
      <c r="I43" s="10" t="s">
        <v>30</v>
      </c>
      <c r="J43" s="14">
        <v>82769.099807523235</v>
      </c>
      <c r="K43" s="14"/>
      <c r="L43" s="14">
        <v>20236.718152752208</v>
      </c>
      <c r="M43" s="14"/>
      <c r="N43" s="15">
        <v>7568.5325891293251</v>
      </c>
      <c r="O43" s="50"/>
      <c r="AD43" s="24"/>
    </row>
    <row r="44" spans="8:30" x14ac:dyDescent="0.3">
      <c r="I44" s="13"/>
      <c r="J44" s="11"/>
      <c r="K44" s="11"/>
      <c r="L44" s="11"/>
      <c r="M44" s="11"/>
      <c r="N44" s="12"/>
      <c r="O44" s="50"/>
      <c r="S44" t="s">
        <v>118</v>
      </c>
      <c r="T44">
        <f>U16</f>
        <v>10203</v>
      </c>
      <c r="U44">
        <f>T44/2</f>
        <v>5101.5</v>
      </c>
      <c r="V44">
        <f>G24</f>
        <v>28</v>
      </c>
      <c r="W44" t="s">
        <v>21</v>
      </c>
      <c r="X44" t="s">
        <v>112</v>
      </c>
      <c r="Y44">
        <v>1.795154905277311</v>
      </c>
      <c r="AA44">
        <v>0.43890828755063394</v>
      </c>
      <c r="AC44">
        <v>0.1641516995439371</v>
      </c>
      <c r="AD44" s="24"/>
    </row>
    <row r="45" spans="8:30" x14ac:dyDescent="0.3">
      <c r="I45" s="23" t="s">
        <v>175</v>
      </c>
      <c r="J45" s="20">
        <f>J38+J39</f>
        <v>30624.566928783595</v>
      </c>
      <c r="K45" s="20"/>
      <c r="L45" s="20">
        <f>L38+L39</f>
        <v>7487.585716518317</v>
      </c>
      <c r="M45" s="20"/>
      <c r="N45" s="21">
        <f>N38+N39</f>
        <v>2800.3570579778502</v>
      </c>
      <c r="O45" s="50"/>
      <c r="U45">
        <v>5100</v>
      </c>
      <c r="Y45" t="s">
        <v>0</v>
      </c>
      <c r="AA45" t="s">
        <v>1</v>
      </c>
      <c r="AC45" t="s">
        <v>2</v>
      </c>
      <c r="AD45" s="24"/>
    </row>
    <row r="46" spans="8:30" x14ac:dyDescent="0.3">
      <c r="O46" s="50"/>
      <c r="X46" s="1" t="s">
        <v>30</v>
      </c>
      <c r="Y46" s="1">
        <f>U45*Q15*Y44</f>
        <v>105285.83519451429</v>
      </c>
      <c r="Z46" s="1"/>
      <c r="AA46" s="1">
        <f>U45*Q15*AA44</f>
        <v>25741.971064844682</v>
      </c>
      <c r="AB46" s="1"/>
      <c r="AC46" s="1">
        <f>U45*Q15*AC44</f>
        <v>9627.4971782519115</v>
      </c>
      <c r="AD46" s="24"/>
    </row>
    <row r="47" spans="8:30" x14ac:dyDescent="0.3">
      <c r="O47" s="50"/>
      <c r="AD47" s="24"/>
    </row>
    <row r="48" spans="8:30" x14ac:dyDescent="0.3">
      <c r="O48" s="50"/>
      <c r="AD48" s="24"/>
    </row>
    <row r="49" spans="15:30" x14ac:dyDescent="0.3">
      <c r="O49" s="50"/>
      <c r="Q49">
        <v>365</v>
      </c>
      <c r="R49" t="s">
        <v>150</v>
      </c>
      <c r="AD49" s="24"/>
    </row>
    <row r="50" spans="15:30" x14ac:dyDescent="0.3">
      <c r="O50" s="50"/>
      <c r="P50" t="s">
        <v>149</v>
      </c>
      <c r="Q50">
        <v>40</v>
      </c>
      <c r="R50">
        <f>Q49*Q50</f>
        <v>14600</v>
      </c>
      <c r="V50">
        <v>11.5</v>
      </c>
      <c r="W50" t="s">
        <v>21</v>
      </c>
      <c r="X50" t="s">
        <v>112</v>
      </c>
      <c r="Y50">
        <v>1.2028039459439785</v>
      </c>
      <c r="AA50">
        <v>0.29408081643620892</v>
      </c>
      <c r="AC50">
        <v>0.10998622534714214</v>
      </c>
      <c r="AD50" s="24"/>
    </row>
    <row r="51" spans="15:30" x14ac:dyDescent="0.3">
      <c r="O51" s="50"/>
      <c r="Y51" t="s">
        <v>0</v>
      </c>
      <c r="AA51" t="s">
        <v>1</v>
      </c>
      <c r="AC51" t="s">
        <v>2</v>
      </c>
      <c r="AD51" s="24"/>
    </row>
    <row r="52" spans="15:30" x14ac:dyDescent="0.3">
      <c r="O52" s="50"/>
      <c r="P52" t="s">
        <v>73</v>
      </c>
      <c r="X52" s="1" t="s">
        <v>30</v>
      </c>
      <c r="Y52" s="1">
        <f>P53*R50*Y50</f>
        <v>201950.78252399398</v>
      </c>
      <c r="Z52" s="1"/>
      <c r="AA52" s="1">
        <f>P53*R50*AA50</f>
        <v>49376.169079639476</v>
      </c>
      <c r="AB52" s="1"/>
      <c r="AC52" s="1">
        <f>P53*R50*AC50</f>
        <v>18466.687235785164</v>
      </c>
      <c r="AD52" s="24"/>
    </row>
    <row r="53" spans="15:30" x14ac:dyDescent="0.3">
      <c r="O53" s="50"/>
      <c r="P53">
        <v>11.5</v>
      </c>
      <c r="Q53" t="s">
        <v>28</v>
      </c>
      <c r="AD53" s="24"/>
    </row>
    <row r="54" spans="15:30" x14ac:dyDescent="0.3">
      <c r="O54" s="50"/>
      <c r="AD54" s="24"/>
    </row>
    <row r="55" spans="15:30" x14ac:dyDescent="0.3">
      <c r="O55" s="50"/>
      <c r="X55" t="s">
        <v>151</v>
      </c>
      <c r="AD55" s="24"/>
    </row>
    <row r="56" spans="15:30" x14ac:dyDescent="0.3">
      <c r="O56" s="50"/>
      <c r="AD56" s="24"/>
    </row>
    <row r="57" spans="15:30" x14ac:dyDescent="0.3">
      <c r="O57" s="50"/>
      <c r="Y57" t="s">
        <v>0</v>
      </c>
      <c r="AA57" t="s">
        <v>1</v>
      </c>
      <c r="AC57" t="s">
        <v>2</v>
      </c>
      <c r="AD57" s="24"/>
    </row>
    <row r="58" spans="15:30" x14ac:dyDescent="0.3">
      <c r="O58" s="50"/>
      <c r="W58" s="1"/>
      <c r="X58" s="1" t="s">
        <v>30</v>
      </c>
      <c r="Y58" s="1">
        <f>Y7+Y25+Y33+Y40+Y46+Y52</f>
        <v>628193.78356043319</v>
      </c>
      <c r="Z58" s="1"/>
      <c r="AA58" s="1">
        <f>AA7+AA25+AA33+AA40+AA46+AA52</f>
        <v>153590.90014010287</v>
      </c>
      <c r="AB58" s="1"/>
      <c r="AC58" s="1">
        <f>AC7+AC25+AC33+AC40+AC46+AC52</f>
        <v>57442.996652398477</v>
      </c>
      <c r="AD58" s="24"/>
    </row>
    <row r="59" spans="15:30" x14ac:dyDescent="0.3">
      <c r="O59" s="50"/>
      <c r="W59">
        <v>2</v>
      </c>
      <c r="X59" t="s">
        <v>15</v>
      </c>
      <c r="Y59">
        <f>Y58/W59</f>
        <v>314096.8917802166</v>
      </c>
      <c r="AA59">
        <f>AA58/W59</f>
        <v>76795.450070051433</v>
      </c>
      <c r="AC59">
        <f>AC58/W59</f>
        <v>28721.498326199238</v>
      </c>
      <c r="AD59" s="24"/>
    </row>
    <row r="60" spans="15:30" x14ac:dyDescent="0.3">
      <c r="O60" s="50"/>
      <c r="V60" s="2"/>
      <c r="W60" s="2">
        <v>0.57999999999999996</v>
      </c>
      <c r="X60" s="2" t="s">
        <v>178</v>
      </c>
      <c r="Y60" s="2">
        <f>Y59*W60</f>
        <v>182176.19723252562</v>
      </c>
      <c r="Z60" s="2"/>
      <c r="AA60" s="2">
        <f>AA59*W60</f>
        <v>44541.361040629825</v>
      </c>
      <c r="AB60" s="2"/>
      <c r="AC60" s="2">
        <f>AC59*W60</f>
        <v>16658.469029195556</v>
      </c>
      <c r="AD60" s="24"/>
    </row>
    <row r="61" spans="15:30" x14ac:dyDescent="0.3">
      <c r="O61" s="50"/>
      <c r="V61" s="3"/>
      <c r="W61" s="3">
        <v>0.16</v>
      </c>
      <c r="X61" s="3" t="s">
        <v>177</v>
      </c>
      <c r="Y61" s="3">
        <f>Y59*W61</f>
        <v>50255.502684834653</v>
      </c>
      <c r="Z61" s="3"/>
      <c r="AA61" s="3">
        <f>AA59*W61</f>
        <v>12287.27201120823</v>
      </c>
      <c r="AB61" s="3"/>
      <c r="AC61" s="3">
        <f>AC59*W61</f>
        <v>4595.4397321918786</v>
      </c>
      <c r="AD61" s="24"/>
    </row>
    <row r="62" spans="15:30" x14ac:dyDescent="0.3">
      <c r="O62" s="50"/>
      <c r="AD62" s="24"/>
    </row>
    <row r="63" spans="15:30" x14ac:dyDescent="0.3">
      <c r="O63" s="50"/>
      <c r="AD63" s="24"/>
    </row>
    <row r="64" spans="15:30" x14ac:dyDescent="0.3">
      <c r="O64" s="50"/>
      <c r="X64" s="6" t="s">
        <v>152</v>
      </c>
      <c r="Y64" s="7"/>
      <c r="Z64" s="7"/>
      <c r="AA64" s="7"/>
      <c r="AB64" s="7"/>
      <c r="AC64" s="19"/>
      <c r="AD64" s="24"/>
    </row>
    <row r="65" spans="15:30" x14ac:dyDescent="0.3">
      <c r="O65" s="50"/>
      <c r="X65" s="13"/>
      <c r="Y65" s="11" t="s">
        <v>0</v>
      </c>
      <c r="Z65" s="11"/>
      <c r="AA65" s="11" t="s">
        <v>1</v>
      </c>
      <c r="AB65" s="11"/>
      <c r="AC65" s="12" t="s">
        <v>2</v>
      </c>
      <c r="AD65" s="24"/>
    </row>
    <row r="66" spans="15:30" x14ac:dyDescent="0.3">
      <c r="O66" s="50"/>
      <c r="X66" s="10" t="s">
        <v>30</v>
      </c>
      <c r="Y66" s="14">
        <v>628193.78356043319</v>
      </c>
      <c r="Z66" s="14"/>
      <c r="AA66" s="14">
        <v>153590.90014010287</v>
      </c>
      <c r="AB66" s="14"/>
      <c r="AC66" s="15">
        <v>57442.996652398477</v>
      </c>
      <c r="AD66" s="24"/>
    </row>
    <row r="67" spans="15:30" x14ac:dyDescent="0.3">
      <c r="O67" s="50"/>
      <c r="X67" s="13"/>
      <c r="Y67" s="11"/>
      <c r="Z67" s="11"/>
      <c r="AA67" s="11"/>
      <c r="AB67" s="11"/>
      <c r="AC67" s="12"/>
      <c r="AD67" s="24"/>
    </row>
    <row r="68" spans="15:30" x14ac:dyDescent="0.3">
      <c r="O68" s="50"/>
      <c r="X68" s="23" t="s">
        <v>175</v>
      </c>
      <c r="Y68" s="20">
        <f>Y60+Y61</f>
        <v>232431.69991736027</v>
      </c>
      <c r="Z68" s="20"/>
      <c r="AA68" s="20">
        <f>AA60+AA61</f>
        <v>56828.633051838056</v>
      </c>
      <c r="AB68" s="20"/>
      <c r="AC68" s="21">
        <f>AC60+AC61</f>
        <v>21253.908761387436</v>
      </c>
      <c r="AD68" s="24"/>
    </row>
    <row r="69" spans="15:30" x14ac:dyDescent="0.3">
      <c r="O69" s="50"/>
      <c r="AD69" s="24"/>
    </row>
    <row r="70" spans="15:30" x14ac:dyDescent="0.3">
      <c r="O70" s="50"/>
      <c r="AD70" s="24"/>
    </row>
    <row r="71" spans="15:30" x14ac:dyDescent="0.3">
      <c r="O71" s="50"/>
      <c r="X71" s="6" t="s">
        <v>154</v>
      </c>
      <c r="Y71" s="7"/>
      <c r="Z71" s="7"/>
      <c r="AA71" s="7"/>
      <c r="AB71" s="7"/>
      <c r="AC71" s="19"/>
      <c r="AD71" s="24"/>
    </row>
    <row r="72" spans="15:30" x14ac:dyDescent="0.3">
      <c r="O72" s="50"/>
      <c r="X72" s="13" t="s">
        <v>5</v>
      </c>
      <c r="Y72" s="11" t="s">
        <v>12</v>
      </c>
      <c r="Z72" s="11"/>
      <c r="AA72" s="11" t="s">
        <v>13</v>
      </c>
      <c r="AB72" s="11"/>
      <c r="AC72" s="12" t="s">
        <v>14</v>
      </c>
      <c r="AD72" s="24"/>
    </row>
    <row r="73" spans="15:30" x14ac:dyDescent="0.3">
      <c r="O73" s="50"/>
      <c r="X73" s="10" t="s">
        <v>6</v>
      </c>
      <c r="Y73" s="14">
        <f>Y66+J43</f>
        <v>710962.88336795638</v>
      </c>
      <c r="Z73" s="14"/>
      <c r="AA73" s="14">
        <f>AA66+L43</f>
        <v>173827.61829285507</v>
      </c>
      <c r="AB73" s="14"/>
      <c r="AC73" s="15">
        <f>AC66+N43</f>
        <v>65011.529241527802</v>
      </c>
      <c r="AD73" s="24"/>
    </row>
    <row r="74" spans="15:30" x14ac:dyDescent="0.3">
      <c r="O74" s="50"/>
      <c r="X74" s="13"/>
      <c r="Y74" s="11"/>
      <c r="Z74" s="11"/>
      <c r="AA74" s="11"/>
      <c r="AB74" s="11"/>
      <c r="AC74" s="12"/>
      <c r="AD74" s="24"/>
    </row>
    <row r="75" spans="15:30" x14ac:dyDescent="0.3">
      <c r="O75" s="50"/>
      <c r="X75" s="23" t="s">
        <v>175</v>
      </c>
      <c r="Y75" s="20">
        <f>Y68+J45</f>
        <v>263056.26684614387</v>
      </c>
      <c r="Z75" s="20"/>
      <c r="AA75" s="20">
        <f>AA68+L45</f>
        <v>64316.218768356375</v>
      </c>
      <c r="AB75" s="20"/>
      <c r="AC75" s="21">
        <f>AC68+N45</f>
        <v>24054.265819365286</v>
      </c>
      <c r="AD75" s="24"/>
    </row>
    <row r="76" spans="15:30" x14ac:dyDescent="0.3">
      <c r="O76" s="50"/>
      <c r="AD76" s="24"/>
    </row>
    <row r="77" spans="15:30" x14ac:dyDescent="0.3">
      <c r="O77" s="50"/>
      <c r="AD77" s="24"/>
    </row>
    <row r="78" spans="15:30" x14ac:dyDescent="0.3">
      <c r="O78" s="50"/>
      <c r="AD78" s="24"/>
    </row>
    <row r="79" spans="15:30" x14ac:dyDescent="0.3">
      <c r="O79" s="50"/>
      <c r="AD79" s="24"/>
    </row>
    <row r="80" spans="15:30" x14ac:dyDescent="0.3">
      <c r="O80" s="50"/>
      <c r="AD80" s="24"/>
    </row>
    <row r="81" spans="15:30" x14ac:dyDescent="0.3">
      <c r="O81" s="50"/>
      <c r="AD81" s="24"/>
    </row>
    <row r="82" spans="15:30" x14ac:dyDescent="0.3">
      <c r="O82" s="50"/>
      <c r="AD82" s="24"/>
    </row>
    <row r="83" spans="15:30" x14ac:dyDescent="0.3">
      <c r="O83" s="50"/>
      <c r="AD83" s="24"/>
    </row>
    <row r="84" spans="15:30" x14ac:dyDescent="0.3">
      <c r="O84" s="50"/>
    </row>
    <row r="85" spans="15:30" x14ac:dyDescent="0.3">
      <c r="O85" s="50"/>
    </row>
    <row r="86" spans="15:30" x14ac:dyDescent="0.3">
      <c r="O86" s="50"/>
    </row>
    <row r="87" spans="15:30" x14ac:dyDescent="0.3">
      <c r="O87" s="50"/>
    </row>
    <row r="88" spans="15:30" x14ac:dyDescent="0.3">
      <c r="O88" s="50"/>
    </row>
    <row r="89" spans="15:30" x14ac:dyDescent="0.3">
      <c r="O89" s="50"/>
    </row>
    <row r="90" spans="15:30" x14ac:dyDescent="0.3">
      <c r="O90" s="50"/>
    </row>
    <row r="91" spans="15:30" x14ac:dyDescent="0.3">
      <c r="O91" s="50"/>
    </row>
    <row r="92" spans="15:30" x14ac:dyDescent="0.3">
      <c r="O92" s="50"/>
    </row>
    <row r="93" spans="15:30" x14ac:dyDescent="0.3">
      <c r="O93" s="50"/>
    </row>
    <row r="94" spans="15:30" x14ac:dyDescent="0.3">
      <c r="O94" s="50"/>
    </row>
    <row r="95" spans="15:30" x14ac:dyDescent="0.3">
      <c r="O95" s="50"/>
    </row>
    <row r="96" spans="15:30" x14ac:dyDescent="0.3">
      <c r="O96" s="50"/>
    </row>
    <row r="97" spans="15:15" x14ac:dyDescent="0.3">
      <c r="O97" s="50"/>
    </row>
    <row r="98" spans="15:15" x14ac:dyDescent="0.3">
      <c r="O98" s="50"/>
    </row>
    <row r="99" spans="15:15" x14ac:dyDescent="0.3">
      <c r="O99" s="50"/>
    </row>
    <row r="100" spans="15:15" x14ac:dyDescent="0.3">
      <c r="O100" s="50"/>
    </row>
    <row r="101" spans="15:15" x14ac:dyDescent="0.3">
      <c r="O101" s="50"/>
    </row>
    <row r="102" spans="15:15" x14ac:dyDescent="0.3">
      <c r="O102" s="50"/>
    </row>
    <row r="103" spans="15:15" x14ac:dyDescent="0.3">
      <c r="O103" s="50"/>
    </row>
    <row r="104" spans="15:15" x14ac:dyDescent="0.3">
      <c r="O104" s="50"/>
    </row>
    <row r="105" spans="15:15" x14ac:dyDescent="0.3">
      <c r="O105" s="50"/>
    </row>
    <row r="106" spans="15:15" x14ac:dyDescent="0.3">
      <c r="O106" s="50"/>
    </row>
    <row r="107" spans="15:15" x14ac:dyDescent="0.3">
      <c r="O107" s="50"/>
    </row>
    <row r="108" spans="15:15" x14ac:dyDescent="0.3">
      <c r="O108" s="50"/>
    </row>
    <row r="109" spans="15:15" x14ac:dyDescent="0.3">
      <c r="O109" s="50"/>
    </row>
    <row r="110" spans="15:15" x14ac:dyDescent="0.3">
      <c r="O110" s="50"/>
    </row>
    <row r="111" spans="15:15" x14ac:dyDescent="0.3">
      <c r="O111" s="50"/>
    </row>
    <row r="112" spans="15:15" x14ac:dyDescent="0.3">
      <c r="O112" s="50"/>
    </row>
    <row r="113" spans="15:15" x14ac:dyDescent="0.3">
      <c r="O113" s="50"/>
    </row>
    <row r="114" spans="15:15" x14ac:dyDescent="0.3">
      <c r="O114" s="50"/>
    </row>
    <row r="115" spans="15:15" x14ac:dyDescent="0.3">
      <c r="O115" s="50"/>
    </row>
    <row r="116" spans="15:15" x14ac:dyDescent="0.3">
      <c r="O116" s="50"/>
    </row>
    <row r="117" spans="15:15" x14ac:dyDescent="0.3">
      <c r="O117" s="50"/>
    </row>
    <row r="118" spans="15:15" x14ac:dyDescent="0.3">
      <c r="O118" s="50"/>
    </row>
    <row r="119" spans="15:15" x14ac:dyDescent="0.3">
      <c r="O119" s="50"/>
    </row>
    <row r="120" spans="15:15" x14ac:dyDescent="0.3">
      <c r="O120" s="50"/>
    </row>
    <row r="121" spans="15:15" x14ac:dyDescent="0.3">
      <c r="O121" s="50"/>
    </row>
    <row r="122" spans="15:15" x14ac:dyDescent="0.3">
      <c r="O122" s="50"/>
    </row>
    <row r="123" spans="15:15" x14ac:dyDescent="0.3">
      <c r="O123" s="50"/>
    </row>
    <row r="124" spans="15:15" x14ac:dyDescent="0.3">
      <c r="O124" s="50"/>
    </row>
    <row r="125" spans="15:15" x14ac:dyDescent="0.3">
      <c r="O125" s="50"/>
    </row>
    <row r="126" spans="15:15" x14ac:dyDescent="0.3">
      <c r="O126" s="50"/>
    </row>
    <row r="127" spans="15:15" x14ac:dyDescent="0.3">
      <c r="O127" s="50"/>
    </row>
    <row r="128" spans="15:15" x14ac:dyDescent="0.3">
      <c r="O128" s="50"/>
    </row>
    <row r="129" spans="15:15" x14ac:dyDescent="0.3">
      <c r="O129" s="50"/>
    </row>
    <row r="130" spans="15:15" x14ac:dyDescent="0.3">
      <c r="O130" s="50"/>
    </row>
    <row r="131" spans="15:15" x14ac:dyDescent="0.3">
      <c r="O131" s="50"/>
    </row>
    <row r="132" spans="15:15" x14ac:dyDescent="0.3">
      <c r="O132" s="50"/>
    </row>
    <row r="133" spans="15:15" x14ac:dyDescent="0.3">
      <c r="O133" s="50"/>
    </row>
    <row r="134" spans="15:15" x14ac:dyDescent="0.3">
      <c r="O134" s="50"/>
    </row>
    <row r="135" spans="15:15" x14ac:dyDescent="0.3">
      <c r="O135" s="50"/>
    </row>
    <row r="136" spans="15:15" x14ac:dyDescent="0.3">
      <c r="O136" s="50"/>
    </row>
    <row r="137" spans="15:15" x14ac:dyDescent="0.3">
      <c r="O137" s="50"/>
    </row>
    <row r="138" spans="15:15" x14ac:dyDescent="0.3">
      <c r="O138" s="50"/>
    </row>
    <row r="139" spans="15:15" x14ac:dyDescent="0.3">
      <c r="O139" s="50"/>
    </row>
    <row r="140" spans="15:15" x14ac:dyDescent="0.3">
      <c r="O140" s="50"/>
    </row>
    <row r="141" spans="15:15" x14ac:dyDescent="0.3">
      <c r="O141" s="50"/>
    </row>
    <row r="142" spans="15:15" x14ac:dyDescent="0.3">
      <c r="O142" s="50"/>
    </row>
    <row r="143" spans="15:15" x14ac:dyDescent="0.3">
      <c r="O143" s="50"/>
    </row>
    <row r="144" spans="15:15" x14ac:dyDescent="0.3">
      <c r="O144" s="50"/>
    </row>
    <row r="145" spans="15:15" x14ac:dyDescent="0.3">
      <c r="O145" s="50"/>
    </row>
    <row r="146" spans="15:15" x14ac:dyDescent="0.3">
      <c r="O146" s="50"/>
    </row>
    <row r="147" spans="15:15" x14ac:dyDescent="0.3">
      <c r="O147" s="50"/>
    </row>
    <row r="148" spans="15:15" x14ac:dyDescent="0.3">
      <c r="O148" s="50"/>
    </row>
    <row r="149" spans="15:15" x14ac:dyDescent="0.3">
      <c r="O149" s="50"/>
    </row>
    <row r="150" spans="15:15" x14ac:dyDescent="0.3">
      <c r="O150" s="50"/>
    </row>
    <row r="151" spans="15:15" x14ac:dyDescent="0.3">
      <c r="O151" s="50"/>
    </row>
    <row r="152" spans="15:15" x14ac:dyDescent="0.3">
      <c r="O152" s="50"/>
    </row>
    <row r="153" spans="15:15" x14ac:dyDescent="0.3">
      <c r="O153" s="50"/>
    </row>
    <row r="154" spans="15:15" x14ac:dyDescent="0.3">
      <c r="O154" s="50"/>
    </row>
    <row r="155" spans="15:15" x14ac:dyDescent="0.3">
      <c r="O155" s="50"/>
    </row>
    <row r="156" spans="15:15" x14ac:dyDescent="0.3">
      <c r="O156" s="50"/>
    </row>
    <row r="157" spans="15:15" x14ac:dyDescent="0.3">
      <c r="O157" s="50"/>
    </row>
    <row r="158" spans="15:15" x14ac:dyDescent="0.3">
      <c r="O158" s="50"/>
    </row>
    <row r="159" spans="15:15" x14ac:dyDescent="0.3">
      <c r="O159" s="50"/>
    </row>
    <row r="160" spans="15:15" x14ac:dyDescent="0.3">
      <c r="O160" s="50"/>
    </row>
    <row r="161" spans="15:15" x14ac:dyDescent="0.3">
      <c r="O161" s="50"/>
    </row>
    <row r="162" spans="15:15" x14ac:dyDescent="0.3">
      <c r="O162" s="50"/>
    </row>
    <row r="163" spans="15:15" x14ac:dyDescent="0.3">
      <c r="O163" s="50"/>
    </row>
    <row r="164" spans="15:15" x14ac:dyDescent="0.3">
      <c r="O164" s="50"/>
    </row>
    <row r="165" spans="15:15" x14ac:dyDescent="0.3">
      <c r="O165" s="50"/>
    </row>
    <row r="166" spans="15:15" x14ac:dyDescent="0.3">
      <c r="O166" s="50"/>
    </row>
    <row r="167" spans="15:15" x14ac:dyDescent="0.3">
      <c r="O167" s="50"/>
    </row>
    <row r="168" spans="15:15" x14ac:dyDescent="0.3">
      <c r="O168" s="50"/>
    </row>
    <row r="169" spans="15:15" x14ac:dyDescent="0.3">
      <c r="O169" s="50"/>
    </row>
    <row r="170" spans="15:15" x14ac:dyDescent="0.3">
      <c r="O170" s="50"/>
    </row>
    <row r="171" spans="15:15" x14ac:dyDescent="0.3">
      <c r="O171" s="50"/>
    </row>
    <row r="172" spans="15:15" x14ac:dyDescent="0.3">
      <c r="O172" s="50"/>
    </row>
    <row r="173" spans="15:15" x14ac:dyDescent="0.3">
      <c r="O173" s="50"/>
    </row>
    <row r="174" spans="15:15" x14ac:dyDescent="0.3">
      <c r="O174" s="50"/>
    </row>
    <row r="175" spans="15:15" x14ac:dyDescent="0.3">
      <c r="O175" s="50"/>
    </row>
    <row r="176" spans="15:15" x14ac:dyDescent="0.3">
      <c r="O176" s="50"/>
    </row>
    <row r="177" spans="15:15" x14ac:dyDescent="0.3">
      <c r="O177" s="50"/>
    </row>
    <row r="178" spans="15:15" x14ac:dyDescent="0.3">
      <c r="O178" s="50"/>
    </row>
    <row r="179" spans="15:15" x14ac:dyDescent="0.3">
      <c r="O179" s="50"/>
    </row>
    <row r="180" spans="15:15" x14ac:dyDescent="0.3">
      <c r="O180" s="50"/>
    </row>
    <row r="181" spans="15:15" x14ac:dyDescent="0.3">
      <c r="O181" s="50"/>
    </row>
    <row r="182" spans="15:15" x14ac:dyDescent="0.3">
      <c r="O182" s="50"/>
    </row>
    <row r="183" spans="15:15" x14ac:dyDescent="0.3">
      <c r="O183" s="50"/>
    </row>
    <row r="184" spans="15:15" x14ac:dyDescent="0.3">
      <c r="O184" s="50"/>
    </row>
    <row r="185" spans="15:15" x14ac:dyDescent="0.3">
      <c r="O185" s="50"/>
    </row>
    <row r="186" spans="15:15" x14ac:dyDescent="0.3">
      <c r="O186" s="50"/>
    </row>
    <row r="187" spans="15:15" x14ac:dyDescent="0.3">
      <c r="O187" s="50"/>
    </row>
    <row r="188" spans="15:15" x14ac:dyDescent="0.3">
      <c r="O188" s="50"/>
    </row>
    <row r="189" spans="15:15" x14ac:dyDescent="0.3">
      <c r="O189" s="50"/>
    </row>
    <row r="190" spans="15:15" x14ac:dyDescent="0.3">
      <c r="O190" s="50"/>
    </row>
    <row r="191" spans="15:15" x14ac:dyDescent="0.3">
      <c r="O191" s="50"/>
    </row>
    <row r="192" spans="15:15" x14ac:dyDescent="0.3">
      <c r="O192" s="50"/>
    </row>
    <row r="193" spans="15:15" x14ac:dyDescent="0.3">
      <c r="O193" s="50"/>
    </row>
    <row r="194" spans="15:15" x14ac:dyDescent="0.3">
      <c r="O194" s="50"/>
    </row>
    <row r="195" spans="15:15" x14ac:dyDescent="0.3">
      <c r="O195" s="50"/>
    </row>
    <row r="196" spans="15:15" x14ac:dyDescent="0.3">
      <c r="O196" s="50"/>
    </row>
    <row r="197" spans="15:15" x14ac:dyDescent="0.3">
      <c r="O197" s="50"/>
    </row>
    <row r="198" spans="15:15" x14ac:dyDescent="0.3">
      <c r="O198" s="50"/>
    </row>
    <row r="199" spans="15:15" x14ac:dyDescent="0.3">
      <c r="O199" s="50"/>
    </row>
    <row r="200" spans="15:15" x14ac:dyDescent="0.3">
      <c r="O200" s="50"/>
    </row>
    <row r="201" spans="15:15" x14ac:dyDescent="0.3">
      <c r="O201" s="50"/>
    </row>
    <row r="202" spans="15:15" x14ac:dyDescent="0.3">
      <c r="O202" s="50"/>
    </row>
    <row r="203" spans="15:15" x14ac:dyDescent="0.3">
      <c r="O203" s="50"/>
    </row>
    <row r="204" spans="15:15" x14ac:dyDescent="0.3">
      <c r="O204" s="50"/>
    </row>
    <row r="205" spans="15:15" x14ac:dyDescent="0.3">
      <c r="O205" s="50"/>
    </row>
    <row r="206" spans="15:15" x14ac:dyDescent="0.3">
      <c r="O206" s="50"/>
    </row>
    <row r="207" spans="15:15" x14ac:dyDescent="0.3">
      <c r="O207" s="50"/>
    </row>
    <row r="208" spans="15:15" x14ac:dyDescent="0.3">
      <c r="O208" s="50"/>
    </row>
    <row r="209" spans="15:15" x14ac:dyDescent="0.3">
      <c r="O209" s="50"/>
    </row>
    <row r="210" spans="15:15" x14ac:dyDescent="0.3">
      <c r="O210" s="50"/>
    </row>
    <row r="211" spans="15:15" x14ac:dyDescent="0.3">
      <c r="O211" s="50"/>
    </row>
    <row r="212" spans="15:15" x14ac:dyDescent="0.3">
      <c r="O212" s="50"/>
    </row>
    <row r="213" spans="15:15" x14ac:dyDescent="0.3">
      <c r="O213" s="50"/>
    </row>
    <row r="214" spans="15:15" x14ac:dyDescent="0.3">
      <c r="O214" s="50"/>
    </row>
    <row r="215" spans="15:15" x14ac:dyDescent="0.3">
      <c r="O215" s="50"/>
    </row>
    <row r="216" spans="15:15" x14ac:dyDescent="0.3">
      <c r="O216" s="50"/>
    </row>
    <row r="217" spans="15:15" x14ac:dyDescent="0.3">
      <c r="O217" s="50"/>
    </row>
    <row r="218" spans="15:15" x14ac:dyDescent="0.3">
      <c r="O218" s="50"/>
    </row>
    <row r="219" spans="15:15" x14ac:dyDescent="0.3">
      <c r="O219" s="50"/>
    </row>
    <row r="220" spans="15:15" x14ac:dyDescent="0.3">
      <c r="O220" s="50"/>
    </row>
    <row r="221" spans="15:15" x14ac:dyDescent="0.3">
      <c r="O221" s="50"/>
    </row>
    <row r="222" spans="15:15" x14ac:dyDescent="0.3">
      <c r="O222" s="50"/>
    </row>
    <row r="223" spans="15:15" x14ac:dyDescent="0.3">
      <c r="O223" s="50"/>
    </row>
    <row r="224" spans="15:15" x14ac:dyDescent="0.3">
      <c r="O224" s="50"/>
    </row>
    <row r="225" spans="15:15" x14ac:dyDescent="0.3">
      <c r="O225" s="50"/>
    </row>
    <row r="226" spans="15:15" x14ac:dyDescent="0.3">
      <c r="O226" s="50"/>
    </row>
    <row r="227" spans="15:15" x14ac:dyDescent="0.3">
      <c r="O227" s="50"/>
    </row>
    <row r="228" spans="15:15" x14ac:dyDescent="0.3">
      <c r="O228" s="50"/>
    </row>
    <row r="229" spans="15:15" x14ac:dyDescent="0.3">
      <c r="O229" s="50"/>
    </row>
    <row r="230" spans="15:15" x14ac:dyDescent="0.3">
      <c r="O230" s="50"/>
    </row>
    <row r="231" spans="15:15" x14ac:dyDescent="0.3">
      <c r="O231" s="50"/>
    </row>
    <row r="232" spans="15:15" x14ac:dyDescent="0.3">
      <c r="O232" s="50"/>
    </row>
    <row r="233" spans="15:15" x14ac:dyDescent="0.3">
      <c r="O233" s="50"/>
    </row>
    <row r="234" spans="15:15" x14ac:dyDescent="0.3">
      <c r="O234" s="50"/>
    </row>
    <row r="235" spans="15:15" x14ac:dyDescent="0.3">
      <c r="O235" s="50"/>
    </row>
    <row r="236" spans="15:15" x14ac:dyDescent="0.3">
      <c r="O236" s="50"/>
    </row>
    <row r="237" spans="15:15" x14ac:dyDescent="0.3">
      <c r="O237" s="50"/>
    </row>
    <row r="238" spans="15:15" x14ac:dyDescent="0.3">
      <c r="O238" s="50"/>
    </row>
    <row r="239" spans="15:15" x14ac:dyDescent="0.3">
      <c r="O239" s="50"/>
    </row>
    <row r="240" spans="15:15" x14ac:dyDescent="0.3">
      <c r="O240" s="50"/>
    </row>
    <row r="241" spans="15:15" x14ac:dyDescent="0.3">
      <c r="O241" s="50"/>
    </row>
    <row r="242" spans="15:15" x14ac:dyDescent="0.3">
      <c r="O242" s="50"/>
    </row>
    <row r="243" spans="15:15" x14ac:dyDescent="0.3">
      <c r="O243" s="50"/>
    </row>
    <row r="244" spans="15:15" x14ac:dyDescent="0.3">
      <c r="O244" s="50"/>
    </row>
    <row r="245" spans="15:15" x14ac:dyDescent="0.3">
      <c r="O245" s="50"/>
    </row>
    <row r="246" spans="15:15" x14ac:dyDescent="0.3">
      <c r="O246" s="50"/>
    </row>
    <row r="247" spans="15:15" x14ac:dyDescent="0.3">
      <c r="O247" s="50"/>
    </row>
    <row r="248" spans="15:15" x14ac:dyDescent="0.3">
      <c r="O248" s="50"/>
    </row>
    <row r="249" spans="15:15" x14ac:dyDescent="0.3">
      <c r="O249" s="50"/>
    </row>
    <row r="250" spans="15:15" x14ac:dyDescent="0.3">
      <c r="O250" s="50"/>
    </row>
    <row r="251" spans="15:15" x14ac:dyDescent="0.3">
      <c r="O251" s="50"/>
    </row>
    <row r="252" spans="15:15" x14ac:dyDescent="0.3">
      <c r="O252" s="50"/>
    </row>
    <row r="253" spans="15:15" x14ac:dyDescent="0.3">
      <c r="O253" s="50"/>
    </row>
    <row r="254" spans="15:15" x14ac:dyDescent="0.3">
      <c r="O254" s="50"/>
    </row>
    <row r="255" spans="15:15" x14ac:dyDescent="0.3">
      <c r="O255" s="50"/>
    </row>
    <row r="256" spans="15:15" x14ac:dyDescent="0.3">
      <c r="O256" s="50"/>
    </row>
    <row r="257" spans="15:15" x14ac:dyDescent="0.3">
      <c r="O257" s="50"/>
    </row>
    <row r="258" spans="15:15" x14ac:dyDescent="0.3">
      <c r="O258" s="50"/>
    </row>
    <row r="259" spans="15:15" x14ac:dyDescent="0.3">
      <c r="O259" s="50"/>
    </row>
    <row r="260" spans="15:15" x14ac:dyDescent="0.3">
      <c r="O260" s="50"/>
    </row>
    <row r="261" spans="15:15" x14ac:dyDescent="0.3">
      <c r="O261" s="50"/>
    </row>
    <row r="262" spans="15:15" x14ac:dyDescent="0.3">
      <c r="O262" s="50"/>
    </row>
    <row r="263" spans="15:15" x14ac:dyDescent="0.3">
      <c r="O263" s="50"/>
    </row>
    <row r="264" spans="15:15" x14ac:dyDescent="0.3">
      <c r="O264" s="50"/>
    </row>
    <row r="265" spans="15:15" x14ac:dyDescent="0.3">
      <c r="O265" s="50"/>
    </row>
    <row r="266" spans="15:15" x14ac:dyDescent="0.3">
      <c r="O266" s="50"/>
    </row>
    <row r="267" spans="15:15" x14ac:dyDescent="0.3">
      <c r="O267" s="50"/>
    </row>
    <row r="268" spans="15:15" x14ac:dyDescent="0.3">
      <c r="O268" s="50"/>
    </row>
    <row r="269" spans="15:15" x14ac:dyDescent="0.3">
      <c r="O269" s="50"/>
    </row>
    <row r="270" spans="15:15" x14ac:dyDescent="0.3">
      <c r="O270" s="50"/>
    </row>
    <row r="271" spans="15:15" x14ac:dyDescent="0.3">
      <c r="O271" s="50"/>
    </row>
    <row r="272" spans="15:15" x14ac:dyDescent="0.3">
      <c r="O272" s="50"/>
    </row>
    <row r="273" spans="15:15" x14ac:dyDescent="0.3">
      <c r="O273" s="50"/>
    </row>
    <row r="274" spans="15:15" x14ac:dyDescent="0.3">
      <c r="O274" s="50"/>
    </row>
    <row r="275" spans="15:15" x14ac:dyDescent="0.3">
      <c r="O275" s="50"/>
    </row>
    <row r="276" spans="15:15" x14ac:dyDescent="0.3">
      <c r="O276" s="50"/>
    </row>
    <row r="277" spans="15:15" x14ac:dyDescent="0.3">
      <c r="O277" s="50"/>
    </row>
    <row r="278" spans="15:15" x14ac:dyDescent="0.3">
      <c r="O278" s="50"/>
    </row>
    <row r="279" spans="15:15" x14ac:dyDescent="0.3">
      <c r="O279" s="50"/>
    </row>
    <row r="280" spans="15:15" x14ac:dyDescent="0.3">
      <c r="O280" s="50"/>
    </row>
    <row r="281" spans="15:15" x14ac:dyDescent="0.3">
      <c r="O281" s="50"/>
    </row>
    <row r="282" spans="15:15" x14ac:dyDescent="0.3">
      <c r="O282" s="50"/>
    </row>
    <row r="283" spans="15:15" x14ac:dyDescent="0.3">
      <c r="O283" s="50"/>
    </row>
    <row r="284" spans="15:15" x14ac:dyDescent="0.3">
      <c r="O284" s="50"/>
    </row>
    <row r="285" spans="15:15" x14ac:dyDescent="0.3">
      <c r="O285" s="50"/>
    </row>
    <row r="286" spans="15:15" x14ac:dyDescent="0.3">
      <c r="O286" s="50"/>
    </row>
    <row r="287" spans="15:15" x14ac:dyDescent="0.3">
      <c r="O287" s="50"/>
    </row>
    <row r="288" spans="15:15" x14ac:dyDescent="0.3">
      <c r="O288" s="50"/>
    </row>
    <row r="289" spans="15:15" x14ac:dyDescent="0.3">
      <c r="O289" s="50"/>
    </row>
    <row r="290" spans="15:15" x14ac:dyDescent="0.3">
      <c r="O290" s="50"/>
    </row>
    <row r="291" spans="15:15" x14ac:dyDescent="0.3">
      <c r="O291" s="50"/>
    </row>
    <row r="292" spans="15:15" x14ac:dyDescent="0.3">
      <c r="O292" s="50"/>
    </row>
    <row r="293" spans="15:15" x14ac:dyDescent="0.3">
      <c r="O293" s="50"/>
    </row>
    <row r="294" spans="15:15" x14ac:dyDescent="0.3">
      <c r="O294" s="50"/>
    </row>
    <row r="295" spans="15:15" x14ac:dyDescent="0.3">
      <c r="O295" s="50"/>
    </row>
    <row r="296" spans="15:15" x14ac:dyDescent="0.3">
      <c r="O296" s="50"/>
    </row>
    <row r="297" spans="15:15" x14ac:dyDescent="0.3">
      <c r="O297" s="50"/>
    </row>
    <row r="298" spans="15:15" x14ac:dyDescent="0.3">
      <c r="O298" s="50"/>
    </row>
    <row r="299" spans="15:15" x14ac:dyDescent="0.3">
      <c r="O299" s="50"/>
    </row>
    <row r="300" spans="15:15" x14ac:dyDescent="0.3">
      <c r="O300" s="49"/>
    </row>
    <row r="301" spans="15:15" x14ac:dyDescent="0.3">
      <c r="O301" s="49"/>
    </row>
    <row r="302" spans="15:15" x14ac:dyDescent="0.3">
      <c r="O302" s="49"/>
    </row>
    <row r="303" spans="15:15" x14ac:dyDescent="0.3">
      <c r="O303" s="49"/>
    </row>
    <row r="304" spans="15:15" x14ac:dyDescent="0.3">
      <c r="O304" s="49"/>
    </row>
    <row r="305" spans="15:15" x14ac:dyDescent="0.3">
      <c r="O305" s="49"/>
    </row>
    <row r="306" spans="15:15" x14ac:dyDescent="0.3">
      <c r="O306" s="49"/>
    </row>
    <row r="307" spans="15:15" x14ac:dyDescent="0.3">
      <c r="O307" s="49"/>
    </row>
    <row r="308" spans="15:15" x14ac:dyDescent="0.3">
      <c r="O308" s="49"/>
    </row>
    <row r="309" spans="15:15" x14ac:dyDescent="0.3">
      <c r="O309" s="49"/>
    </row>
    <row r="310" spans="15:15" x14ac:dyDescent="0.3">
      <c r="O310" s="49"/>
    </row>
    <row r="311" spans="15:15" x14ac:dyDescent="0.3">
      <c r="O311" s="49"/>
    </row>
    <row r="312" spans="15:15" x14ac:dyDescent="0.3">
      <c r="O312" s="49"/>
    </row>
    <row r="313" spans="15:15" x14ac:dyDescent="0.3">
      <c r="O313" s="49"/>
    </row>
    <row r="314" spans="15:15" x14ac:dyDescent="0.3">
      <c r="O314" s="49"/>
    </row>
    <row r="315" spans="15:15" x14ac:dyDescent="0.3">
      <c r="O315" s="49"/>
    </row>
    <row r="316" spans="15:15" x14ac:dyDescent="0.3">
      <c r="O316" s="49"/>
    </row>
    <row r="317" spans="15:15" x14ac:dyDescent="0.3">
      <c r="O317" s="49"/>
    </row>
    <row r="318" spans="15:15" x14ac:dyDescent="0.3">
      <c r="O318" s="49"/>
    </row>
    <row r="319" spans="15:15" x14ac:dyDescent="0.3">
      <c r="O319" s="49"/>
    </row>
    <row r="320" spans="15:15" x14ac:dyDescent="0.3">
      <c r="O320" s="49"/>
    </row>
    <row r="321" spans="15:15" x14ac:dyDescent="0.3">
      <c r="O321" s="49"/>
    </row>
    <row r="322" spans="15:15" x14ac:dyDescent="0.3">
      <c r="O322" s="49"/>
    </row>
    <row r="323" spans="15:15" x14ac:dyDescent="0.3">
      <c r="O323" s="49"/>
    </row>
    <row r="324" spans="15:15" x14ac:dyDescent="0.3">
      <c r="O324" s="49"/>
    </row>
    <row r="325" spans="15:15" x14ac:dyDescent="0.3">
      <c r="O325" s="49"/>
    </row>
    <row r="326" spans="15:15" x14ac:dyDescent="0.3">
      <c r="O326" s="49"/>
    </row>
    <row r="327" spans="15:15" x14ac:dyDescent="0.3">
      <c r="O327" s="49"/>
    </row>
    <row r="328" spans="15:15" x14ac:dyDescent="0.3">
      <c r="O328" s="49"/>
    </row>
    <row r="329" spans="15:15" x14ac:dyDescent="0.3">
      <c r="O329" s="49"/>
    </row>
    <row r="330" spans="15:15" x14ac:dyDescent="0.3">
      <c r="O330" s="49"/>
    </row>
    <row r="331" spans="15:15" x14ac:dyDescent="0.3">
      <c r="O331" s="49"/>
    </row>
    <row r="332" spans="15:15" x14ac:dyDescent="0.3">
      <c r="O332" s="49"/>
    </row>
    <row r="333" spans="15:15" x14ac:dyDescent="0.3">
      <c r="O333" s="49"/>
    </row>
    <row r="334" spans="15:15" x14ac:dyDescent="0.3">
      <c r="O334" s="49"/>
    </row>
    <row r="335" spans="15:15" x14ac:dyDescent="0.3">
      <c r="O335" s="49"/>
    </row>
    <row r="336" spans="15:15" x14ac:dyDescent="0.3">
      <c r="O336" s="49"/>
    </row>
    <row r="337" spans="15:15" x14ac:dyDescent="0.3">
      <c r="O337" s="49"/>
    </row>
    <row r="338" spans="15:15" x14ac:dyDescent="0.3">
      <c r="O338" s="49"/>
    </row>
    <row r="339" spans="15:15" x14ac:dyDescent="0.3">
      <c r="O339" s="49"/>
    </row>
    <row r="340" spans="15:15" x14ac:dyDescent="0.3">
      <c r="O340" s="49"/>
    </row>
    <row r="341" spans="15:15" x14ac:dyDescent="0.3">
      <c r="O341" s="49"/>
    </row>
    <row r="342" spans="15:15" x14ac:dyDescent="0.3">
      <c r="O342" s="49"/>
    </row>
    <row r="343" spans="15:15" x14ac:dyDescent="0.3">
      <c r="O343" s="49"/>
    </row>
    <row r="344" spans="15:15" x14ac:dyDescent="0.3">
      <c r="O344" s="49"/>
    </row>
    <row r="345" spans="15:15" x14ac:dyDescent="0.3">
      <c r="O345" s="49"/>
    </row>
    <row r="346" spans="15:15" x14ac:dyDescent="0.3">
      <c r="O346" s="49"/>
    </row>
    <row r="347" spans="15:15" x14ac:dyDescent="0.3">
      <c r="O347" s="49"/>
    </row>
    <row r="348" spans="15:15" x14ac:dyDescent="0.3">
      <c r="O348" s="49"/>
    </row>
    <row r="349" spans="15:15" x14ac:dyDescent="0.3">
      <c r="O349" s="49"/>
    </row>
    <row r="350" spans="15:15" x14ac:dyDescent="0.3">
      <c r="O350" s="49"/>
    </row>
    <row r="351" spans="15:15" x14ac:dyDescent="0.3">
      <c r="O351" s="49"/>
    </row>
    <row r="352" spans="15:15" x14ac:dyDescent="0.3">
      <c r="O352" s="49"/>
    </row>
    <row r="353" spans="15:15" x14ac:dyDescent="0.3">
      <c r="O353" s="49"/>
    </row>
    <row r="354" spans="15:15" x14ac:dyDescent="0.3">
      <c r="O354" s="49"/>
    </row>
    <row r="355" spans="15:15" x14ac:dyDescent="0.3">
      <c r="O355" s="49"/>
    </row>
    <row r="356" spans="15:15" x14ac:dyDescent="0.3">
      <c r="O356" s="49"/>
    </row>
    <row r="357" spans="15:15" x14ac:dyDescent="0.3">
      <c r="O357" s="49"/>
    </row>
    <row r="358" spans="15:15" x14ac:dyDescent="0.3">
      <c r="O358" s="49"/>
    </row>
    <row r="359" spans="15:15" x14ac:dyDescent="0.3">
      <c r="O359" s="49"/>
    </row>
    <row r="360" spans="15:15" x14ac:dyDescent="0.3">
      <c r="O360" s="49"/>
    </row>
    <row r="361" spans="15:15" x14ac:dyDescent="0.3">
      <c r="O361" s="49"/>
    </row>
    <row r="362" spans="15:15" x14ac:dyDescent="0.3">
      <c r="O362" s="49"/>
    </row>
    <row r="363" spans="15:15" x14ac:dyDescent="0.3">
      <c r="O363" s="49"/>
    </row>
    <row r="364" spans="15:15" x14ac:dyDescent="0.3">
      <c r="O364" s="49"/>
    </row>
    <row r="365" spans="15:15" x14ac:dyDescent="0.3">
      <c r="O365" s="49"/>
    </row>
    <row r="366" spans="15:15" x14ac:dyDescent="0.3">
      <c r="O366" s="49"/>
    </row>
    <row r="367" spans="15:15" x14ac:dyDescent="0.3">
      <c r="O367" s="49"/>
    </row>
    <row r="368" spans="15:15" x14ac:dyDescent="0.3">
      <c r="O368" s="49"/>
    </row>
    <row r="369" spans="15:15" x14ac:dyDescent="0.3">
      <c r="O369" s="49"/>
    </row>
    <row r="370" spans="15:15" x14ac:dyDescent="0.3">
      <c r="O370" s="49"/>
    </row>
    <row r="371" spans="15:15" x14ac:dyDescent="0.3">
      <c r="O371" s="49"/>
    </row>
    <row r="372" spans="15:15" x14ac:dyDescent="0.3">
      <c r="O372" s="49"/>
    </row>
    <row r="373" spans="15:15" x14ac:dyDescent="0.3">
      <c r="O373" s="49"/>
    </row>
    <row r="374" spans="15:15" x14ac:dyDescent="0.3">
      <c r="O374" s="49"/>
    </row>
    <row r="375" spans="15:15" x14ac:dyDescent="0.3">
      <c r="O375" s="49"/>
    </row>
    <row r="376" spans="15:15" x14ac:dyDescent="0.3">
      <c r="O376" s="49"/>
    </row>
    <row r="377" spans="15:15" x14ac:dyDescent="0.3">
      <c r="O377" s="49"/>
    </row>
    <row r="378" spans="15:15" x14ac:dyDescent="0.3">
      <c r="O378" s="49"/>
    </row>
    <row r="379" spans="15:15" x14ac:dyDescent="0.3">
      <c r="O379" s="49"/>
    </row>
    <row r="380" spans="15:15" x14ac:dyDescent="0.3">
      <c r="O380" s="49"/>
    </row>
    <row r="381" spans="15:15" x14ac:dyDescent="0.3">
      <c r="O381" s="49"/>
    </row>
    <row r="382" spans="15:15" x14ac:dyDescent="0.3">
      <c r="O382" s="49"/>
    </row>
    <row r="383" spans="15:15" x14ac:dyDescent="0.3">
      <c r="O383" s="49"/>
    </row>
    <row r="384" spans="15:15" x14ac:dyDescent="0.3">
      <c r="O384" s="49"/>
    </row>
    <row r="385" spans="15:15" x14ac:dyDescent="0.3">
      <c r="O385" s="49"/>
    </row>
    <row r="386" spans="15:15" x14ac:dyDescent="0.3">
      <c r="O386" s="49"/>
    </row>
    <row r="387" spans="15:15" x14ac:dyDescent="0.3">
      <c r="O387" s="49"/>
    </row>
    <row r="388" spans="15:15" x14ac:dyDescent="0.3">
      <c r="O388" s="49"/>
    </row>
    <row r="389" spans="15:15" x14ac:dyDescent="0.3">
      <c r="O389" s="49"/>
    </row>
    <row r="390" spans="15:15" x14ac:dyDescent="0.3">
      <c r="O390" s="49"/>
    </row>
    <row r="391" spans="15:15" x14ac:dyDescent="0.3">
      <c r="O391" s="49"/>
    </row>
    <row r="392" spans="15:15" x14ac:dyDescent="0.3">
      <c r="O392" s="49"/>
    </row>
    <row r="393" spans="15:15" x14ac:dyDescent="0.3">
      <c r="O393" s="49"/>
    </row>
    <row r="394" spans="15:15" x14ac:dyDescent="0.3">
      <c r="O394" s="49"/>
    </row>
    <row r="395" spans="15:15" x14ac:dyDescent="0.3">
      <c r="O395" s="49"/>
    </row>
    <row r="396" spans="15:15" x14ac:dyDescent="0.3">
      <c r="O396" s="49"/>
    </row>
    <row r="397" spans="15:15" x14ac:dyDescent="0.3">
      <c r="O397" s="49"/>
    </row>
    <row r="398" spans="15:15" x14ac:dyDescent="0.3">
      <c r="O398" s="49"/>
    </row>
    <row r="399" spans="15:15" x14ac:dyDescent="0.3">
      <c r="O399" s="49"/>
    </row>
    <row r="400" spans="15:15" x14ac:dyDescent="0.3">
      <c r="O400" s="49"/>
    </row>
    <row r="401" spans="15:15" x14ac:dyDescent="0.3">
      <c r="O401" s="49"/>
    </row>
    <row r="402" spans="15:15" x14ac:dyDescent="0.3">
      <c r="O402" s="49"/>
    </row>
    <row r="403" spans="15:15" x14ac:dyDescent="0.3">
      <c r="O403" s="49"/>
    </row>
    <row r="404" spans="15:15" x14ac:dyDescent="0.3">
      <c r="O404" s="49"/>
    </row>
    <row r="405" spans="15:15" x14ac:dyDescent="0.3">
      <c r="O405" s="49"/>
    </row>
    <row r="406" spans="15:15" x14ac:dyDescent="0.3">
      <c r="O406" s="49"/>
    </row>
    <row r="407" spans="15:15" x14ac:dyDescent="0.3">
      <c r="O407" s="49"/>
    </row>
    <row r="408" spans="15:15" x14ac:dyDescent="0.3">
      <c r="O408" s="49"/>
    </row>
    <row r="409" spans="15:15" x14ac:dyDescent="0.3">
      <c r="O409" s="49"/>
    </row>
    <row r="410" spans="15:15" x14ac:dyDescent="0.3">
      <c r="O410" s="49"/>
    </row>
    <row r="411" spans="15:15" x14ac:dyDescent="0.3">
      <c r="O411" s="49"/>
    </row>
    <row r="412" spans="15:15" x14ac:dyDescent="0.3">
      <c r="O412" s="49"/>
    </row>
    <row r="413" spans="15:15" x14ac:dyDescent="0.3">
      <c r="O413" s="49"/>
    </row>
    <row r="414" spans="15:15" x14ac:dyDescent="0.3">
      <c r="O414" s="49"/>
    </row>
    <row r="415" spans="15:15" x14ac:dyDescent="0.3">
      <c r="O415" s="49"/>
    </row>
    <row r="416" spans="15:15" x14ac:dyDescent="0.3">
      <c r="O416" s="49"/>
    </row>
    <row r="417" spans="15:15" x14ac:dyDescent="0.3">
      <c r="O417" s="49"/>
    </row>
    <row r="418" spans="15:15" x14ac:dyDescent="0.3">
      <c r="O418" s="49"/>
    </row>
    <row r="419" spans="15:15" x14ac:dyDescent="0.3">
      <c r="O419" s="49"/>
    </row>
    <row r="420" spans="15:15" x14ac:dyDescent="0.3">
      <c r="O420" s="49"/>
    </row>
    <row r="421" spans="15:15" x14ac:dyDescent="0.3">
      <c r="O421" s="49"/>
    </row>
    <row r="422" spans="15:15" x14ac:dyDescent="0.3">
      <c r="O422" s="49"/>
    </row>
    <row r="423" spans="15:15" x14ac:dyDescent="0.3">
      <c r="O423" s="49"/>
    </row>
    <row r="424" spans="15:15" x14ac:dyDescent="0.3">
      <c r="O424" s="49"/>
    </row>
    <row r="425" spans="15:15" x14ac:dyDescent="0.3">
      <c r="O425" s="49"/>
    </row>
    <row r="426" spans="15:15" x14ac:dyDescent="0.3">
      <c r="O426" s="49"/>
    </row>
    <row r="427" spans="15:15" x14ac:dyDescent="0.3">
      <c r="O427" s="49"/>
    </row>
    <row r="428" spans="15:15" x14ac:dyDescent="0.3">
      <c r="O428" s="49"/>
    </row>
    <row r="429" spans="15:15" x14ac:dyDescent="0.3">
      <c r="O429" s="49"/>
    </row>
    <row r="430" spans="15:15" x14ac:dyDescent="0.3">
      <c r="O430" s="49"/>
    </row>
    <row r="431" spans="15:15" x14ac:dyDescent="0.3">
      <c r="O431" s="49"/>
    </row>
    <row r="432" spans="15:15" x14ac:dyDescent="0.3">
      <c r="O432" s="49"/>
    </row>
    <row r="433" spans="15:15" x14ac:dyDescent="0.3">
      <c r="O433" s="49"/>
    </row>
    <row r="434" spans="15:15" x14ac:dyDescent="0.3">
      <c r="O434" s="49"/>
    </row>
    <row r="435" spans="15:15" x14ac:dyDescent="0.3">
      <c r="O435" s="49"/>
    </row>
    <row r="436" spans="15:15" x14ac:dyDescent="0.3">
      <c r="O436" s="49"/>
    </row>
    <row r="437" spans="15:15" x14ac:dyDescent="0.3">
      <c r="O437" s="49"/>
    </row>
    <row r="438" spans="15:15" x14ac:dyDescent="0.3">
      <c r="O438" s="49"/>
    </row>
    <row r="439" spans="15:15" x14ac:dyDescent="0.3">
      <c r="O439" s="49"/>
    </row>
    <row r="440" spans="15:15" x14ac:dyDescent="0.3">
      <c r="O440" s="49"/>
    </row>
    <row r="441" spans="15:15" x14ac:dyDescent="0.3">
      <c r="O441" s="49"/>
    </row>
    <row r="442" spans="15:15" x14ac:dyDescent="0.3">
      <c r="O442" s="49"/>
    </row>
    <row r="443" spans="15:15" x14ac:dyDescent="0.3">
      <c r="O443" s="49"/>
    </row>
    <row r="444" spans="15:15" x14ac:dyDescent="0.3">
      <c r="O444" s="49"/>
    </row>
    <row r="445" spans="15:15" x14ac:dyDescent="0.3">
      <c r="O445" s="49"/>
    </row>
    <row r="446" spans="15:15" x14ac:dyDescent="0.3">
      <c r="O446" s="49"/>
    </row>
    <row r="447" spans="15:15" x14ac:dyDescent="0.3">
      <c r="O447" s="49"/>
    </row>
    <row r="448" spans="15:15" x14ac:dyDescent="0.3">
      <c r="O448" s="49"/>
    </row>
    <row r="449" spans="15:15" x14ac:dyDescent="0.3">
      <c r="O449" s="49"/>
    </row>
    <row r="450" spans="15:15" x14ac:dyDescent="0.3">
      <c r="O450" s="49"/>
    </row>
    <row r="451" spans="15:15" x14ac:dyDescent="0.3">
      <c r="O451" s="49"/>
    </row>
    <row r="452" spans="15:15" x14ac:dyDescent="0.3">
      <c r="O452" s="49"/>
    </row>
    <row r="453" spans="15:15" x14ac:dyDescent="0.3">
      <c r="O453" s="49"/>
    </row>
    <row r="454" spans="15:15" x14ac:dyDescent="0.3">
      <c r="O454" s="49"/>
    </row>
    <row r="455" spans="15:15" x14ac:dyDescent="0.3">
      <c r="O455" s="49"/>
    </row>
    <row r="456" spans="15:15" x14ac:dyDescent="0.3">
      <c r="O456" s="49"/>
    </row>
    <row r="457" spans="15:15" x14ac:dyDescent="0.3">
      <c r="O457" s="49"/>
    </row>
    <row r="458" spans="15:15" x14ac:dyDescent="0.3">
      <c r="O458" s="49"/>
    </row>
    <row r="459" spans="15:15" x14ac:dyDescent="0.3">
      <c r="O459" s="49"/>
    </row>
    <row r="460" spans="15:15" x14ac:dyDescent="0.3">
      <c r="O460" s="49"/>
    </row>
    <row r="461" spans="15:15" x14ac:dyDescent="0.3">
      <c r="O461" s="49"/>
    </row>
    <row r="462" spans="15:15" x14ac:dyDescent="0.3">
      <c r="O462" s="49"/>
    </row>
    <row r="463" spans="15:15" x14ac:dyDescent="0.3">
      <c r="O463" s="49"/>
    </row>
    <row r="464" spans="15:15" x14ac:dyDescent="0.3">
      <c r="O464" s="49"/>
    </row>
    <row r="465" spans="15:15" x14ac:dyDescent="0.3">
      <c r="O465" s="49"/>
    </row>
    <row r="466" spans="15:15" x14ac:dyDescent="0.3">
      <c r="O466" s="49"/>
    </row>
    <row r="467" spans="15:15" x14ac:dyDescent="0.3">
      <c r="O467" s="49"/>
    </row>
    <row r="468" spans="15:15" x14ac:dyDescent="0.3">
      <c r="O468" s="49"/>
    </row>
    <row r="469" spans="15:15" x14ac:dyDescent="0.3">
      <c r="O469" s="49"/>
    </row>
    <row r="470" spans="15:15" x14ac:dyDescent="0.3">
      <c r="O470" s="49"/>
    </row>
    <row r="471" spans="15:15" x14ac:dyDescent="0.3">
      <c r="O471" s="49"/>
    </row>
    <row r="472" spans="15:15" x14ac:dyDescent="0.3">
      <c r="O472" s="49"/>
    </row>
    <row r="473" spans="15:15" x14ac:dyDescent="0.3">
      <c r="O473" s="49"/>
    </row>
    <row r="474" spans="15:15" x14ac:dyDescent="0.3">
      <c r="O474" s="49"/>
    </row>
    <row r="475" spans="15:15" x14ac:dyDescent="0.3">
      <c r="O475" s="49"/>
    </row>
    <row r="476" spans="15:15" x14ac:dyDescent="0.3">
      <c r="O476" s="49"/>
    </row>
    <row r="477" spans="15:15" x14ac:dyDescent="0.3">
      <c r="O477" s="49"/>
    </row>
    <row r="478" spans="15:15" x14ac:dyDescent="0.3">
      <c r="O478" s="49"/>
    </row>
    <row r="479" spans="15:15" x14ac:dyDescent="0.3">
      <c r="O479" s="49"/>
    </row>
    <row r="480" spans="15:15" x14ac:dyDescent="0.3">
      <c r="O480" s="49"/>
    </row>
    <row r="481" spans="15:15" x14ac:dyDescent="0.3">
      <c r="O481" s="49"/>
    </row>
    <row r="482" spans="15:15" x14ac:dyDescent="0.3">
      <c r="O482" s="49"/>
    </row>
    <row r="483" spans="15:15" x14ac:dyDescent="0.3">
      <c r="O483" s="49"/>
    </row>
    <row r="484" spans="15:15" x14ac:dyDescent="0.3">
      <c r="O484" s="49"/>
    </row>
    <row r="485" spans="15:15" x14ac:dyDescent="0.3">
      <c r="O485" s="49"/>
    </row>
    <row r="486" spans="15:15" x14ac:dyDescent="0.3">
      <c r="O486" s="49"/>
    </row>
    <row r="487" spans="15:15" x14ac:dyDescent="0.3">
      <c r="O487" s="49"/>
    </row>
    <row r="488" spans="15:15" x14ac:dyDescent="0.3">
      <c r="O488" s="49"/>
    </row>
    <row r="489" spans="15:15" x14ac:dyDescent="0.3">
      <c r="O489" s="49"/>
    </row>
    <row r="490" spans="15:15" x14ac:dyDescent="0.3">
      <c r="O490" s="49"/>
    </row>
    <row r="491" spans="15:15" x14ac:dyDescent="0.3">
      <c r="O491" s="49"/>
    </row>
    <row r="492" spans="15:15" x14ac:dyDescent="0.3">
      <c r="O492" s="49"/>
    </row>
    <row r="493" spans="15:15" x14ac:dyDescent="0.3">
      <c r="O493" s="49"/>
    </row>
    <row r="494" spans="15:15" x14ac:dyDescent="0.3">
      <c r="O494" s="49"/>
    </row>
    <row r="495" spans="15:15" x14ac:dyDescent="0.3">
      <c r="O495" s="49"/>
    </row>
    <row r="496" spans="15:15" x14ac:dyDescent="0.3">
      <c r="O496" s="49"/>
    </row>
    <row r="497" spans="15:15" x14ac:dyDescent="0.3">
      <c r="O497" s="49"/>
    </row>
    <row r="498" spans="15:15" x14ac:dyDescent="0.3">
      <c r="O498" s="49"/>
    </row>
    <row r="499" spans="15:15" x14ac:dyDescent="0.3">
      <c r="O499" s="49"/>
    </row>
    <row r="500" spans="15:15" x14ac:dyDescent="0.3">
      <c r="O500" s="49"/>
    </row>
    <row r="501" spans="15:15" x14ac:dyDescent="0.3">
      <c r="O501" s="49"/>
    </row>
    <row r="502" spans="15:15" x14ac:dyDescent="0.3">
      <c r="O502" s="49"/>
    </row>
    <row r="503" spans="15:15" x14ac:dyDescent="0.3">
      <c r="O503" s="49"/>
    </row>
    <row r="504" spans="15:15" x14ac:dyDescent="0.3">
      <c r="O504" s="49"/>
    </row>
    <row r="505" spans="15:15" x14ac:dyDescent="0.3">
      <c r="O505" s="49"/>
    </row>
    <row r="506" spans="15:15" x14ac:dyDescent="0.3">
      <c r="O506" s="49"/>
    </row>
    <row r="507" spans="15:15" x14ac:dyDescent="0.3">
      <c r="O507" s="49"/>
    </row>
    <row r="508" spans="15:15" x14ac:dyDescent="0.3">
      <c r="O508" s="49"/>
    </row>
    <row r="509" spans="15:15" x14ac:dyDescent="0.3">
      <c r="O509" s="49"/>
    </row>
    <row r="510" spans="15:15" x14ac:dyDescent="0.3">
      <c r="O510" s="49"/>
    </row>
    <row r="511" spans="15:15" x14ac:dyDescent="0.3">
      <c r="O511" s="49"/>
    </row>
    <row r="512" spans="15:15" x14ac:dyDescent="0.3">
      <c r="O512" s="49"/>
    </row>
    <row r="513" spans="15:15" x14ac:dyDescent="0.3">
      <c r="O513" s="49"/>
    </row>
    <row r="514" spans="15:15" x14ac:dyDescent="0.3">
      <c r="O514" s="49"/>
    </row>
    <row r="515" spans="15:15" x14ac:dyDescent="0.3">
      <c r="O515" s="49"/>
    </row>
    <row r="516" spans="15:15" x14ac:dyDescent="0.3">
      <c r="O516" s="49"/>
    </row>
    <row r="517" spans="15:15" x14ac:dyDescent="0.3">
      <c r="O517" s="49"/>
    </row>
    <row r="518" spans="15:15" x14ac:dyDescent="0.3">
      <c r="O518" s="49"/>
    </row>
    <row r="519" spans="15:15" x14ac:dyDescent="0.3">
      <c r="O519" s="49"/>
    </row>
    <row r="520" spans="15:15" x14ac:dyDescent="0.3">
      <c r="O520" s="49"/>
    </row>
    <row r="521" spans="15:15" x14ac:dyDescent="0.3">
      <c r="O521" s="49"/>
    </row>
    <row r="522" spans="15:15" x14ac:dyDescent="0.3">
      <c r="O522" s="49"/>
    </row>
    <row r="523" spans="15:15" x14ac:dyDescent="0.3">
      <c r="O523" s="49"/>
    </row>
    <row r="524" spans="15:15" x14ac:dyDescent="0.3">
      <c r="O524" s="49"/>
    </row>
    <row r="525" spans="15:15" x14ac:dyDescent="0.3">
      <c r="O525" s="49"/>
    </row>
    <row r="526" spans="15:15" x14ac:dyDescent="0.3">
      <c r="O526" s="49"/>
    </row>
    <row r="527" spans="15:15" x14ac:dyDescent="0.3">
      <c r="O527" s="49"/>
    </row>
    <row r="528" spans="15:15" x14ac:dyDescent="0.3">
      <c r="O528" s="49"/>
    </row>
    <row r="529" spans="15:15" x14ac:dyDescent="0.3">
      <c r="O529" s="49"/>
    </row>
    <row r="530" spans="15:15" x14ac:dyDescent="0.3">
      <c r="O530" s="49"/>
    </row>
    <row r="531" spans="15:15" x14ac:dyDescent="0.3">
      <c r="O531" s="49"/>
    </row>
    <row r="532" spans="15:15" x14ac:dyDescent="0.3">
      <c r="O532" s="49"/>
    </row>
    <row r="533" spans="15:15" x14ac:dyDescent="0.3">
      <c r="O533" s="49"/>
    </row>
    <row r="534" spans="15:15" x14ac:dyDescent="0.3">
      <c r="O534" s="49"/>
    </row>
    <row r="535" spans="15:15" x14ac:dyDescent="0.3">
      <c r="O535" s="49"/>
    </row>
    <row r="536" spans="15:15" x14ac:dyDescent="0.3">
      <c r="O536" s="49"/>
    </row>
    <row r="537" spans="15:15" x14ac:dyDescent="0.3">
      <c r="O537" s="49"/>
    </row>
    <row r="538" spans="15:15" x14ac:dyDescent="0.3">
      <c r="O538" s="49"/>
    </row>
    <row r="539" spans="15:15" x14ac:dyDescent="0.3">
      <c r="O539" s="49"/>
    </row>
    <row r="540" spans="15:15" x14ac:dyDescent="0.3">
      <c r="O540" s="49"/>
    </row>
    <row r="541" spans="15:15" x14ac:dyDescent="0.3">
      <c r="O541" s="49"/>
    </row>
    <row r="542" spans="15:15" x14ac:dyDescent="0.3">
      <c r="O542" s="49"/>
    </row>
    <row r="543" spans="15:15" x14ac:dyDescent="0.3">
      <c r="O543" s="49"/>
    </row>
    <row r="544" spans="15:15" x14ac:dyDescent="0.3">
      <c r="O544" s="49"/>
    </row>
    <row r="545" spans="15:15" x14ac:dyDescent="0.3">
      <c r="O545" s="49"/>
    </row>
    <row r="546" spans="15:15" x14ac:dyDescent="0.3">
      <c r="O546" s="49"/>
    </row>
    <row r="547" spans="15:15" x14ac:dyDescent="0.3">
      <c r="O547" s="49"/>
    </row>
    <row r="548" spans="15:15" x14ac:dyDescent="0.3">
      <c r="O548" s="49"/>
    </row>
    <row r="549" spans="15:15" x14ac:dyDescent="0.3">
      <c r="O549" s="49"/>
    </row>
    <row r="550" spans="15:15" x14ac:dyDescent="0.3">
      <c r="O550" s="49"/>
    </row>
    <row r="551" spans="15:15" x14ac:dyDescent="0.3">
      <c r="O551" s="49"/>
    </row>
    <row r="552" spans="15:15" x14ac:dyDescent="0.3">
      <c r="O552" s="49"/>
    </row>
    <row r="553" spans="15:15" x14ac:dyDescent="0.3">
      <c r="O553" s="49"/>
    </row>
    <row r="554" spans="15:15" x14ac:dyDescent="0.3">
      <c r="O554" s="49"/>
    </row>
    <row r="555" spans="15:15" x14ac:dyDescent="0.3">
      <c r="O555" s="49"/>
    </row>
    <row r="556" spans="15:15" x14ac:dyDescent="0.3">
      <c r="O556" s="49"/>
    </row>
    <row r="557" spans="15:15" x14ac:dyDescent="0.3">
      <c r="O557" s="49"/>
    </row>
    <row r="558" spans="15:15" x14ac:dyDescent="0.3">
      <c r="O558" s="49"/>
    </row>
    <row r="559" spans="15:15" x14ac:dyDescent="0.3">
      <c r="O559" s="49"/>
    </row>
    <row r="560" spans="15:15" x14ac:dyDescent="0.3">
      <c r="O560" s="49"/>
    </row>
    <row r="561" spans="15:15" x14ac:dyDescent="0.3">
      <c r="O561" s="49"/>
    </row>
    <row r="562" spans="15:15" x14ac:dyDescent="0.3">
      <c r="O562" s="49"/>
    </row>
    <row r="563" spans="15:15" x14ac:dyDescent="0.3">
      <c r="O563" s="49"/>
    </row>
    <row r="564" spans="15:15" x14ac:dyDescent="0.3">
      <c r="O564" s="49"/>
    </row>
    <row r="565" spans="15:15" x14ac:dyDescent="0.3">
      <c r="O565" s="49"/>
    </row>
    <row r="566" spans="15:15" x14ac:dyDescent="0.3">
      <c r="O566" s="49"/>
    </row>
    <row r="567" spans="15:15" x14ac:dyDescent="0.3">
      <c r="O567" s="49"/>
    </row>
    <row r="568" spans="15:15" x14ac:dyDescent="0.3">
      <c r="O568" s="49"/>
    </row>
    <row r="569" spans="15:15" x14ac:dyDescent="0.3">
      <c r="O569" s="49"/>
    </row>
    <row r="570" spans="15:15" x14ac:dyDescent="0.3">
      <c r="O570" s="49"/>
    </row>
    <row r="571" spans="15:15" x14ac:dyDescent="0.3">
      <c r="O571" s="49"/>
    </row>
    <row r="572" spans="15:15" x14ac:dyDescent="0.3">
      <c r="O572" s="49"/>
    </row>
    <row r="573" spans="15:15" x14ac:dyDescent="0.3">
      <c r="O573" s="49"/>
    </row>
    <row r="574" spans="15:15" x14ac:dyDescent="0.3">
      <c r="O574" s="49"/>
    </row>
    <row r="575" spans="15:15" x14ac:dyDescent="0.3">
      <c r="O575" s="49"/>
    </row>
    <row r="576" spans="15:15" x14ac:dyDescent="0.3">
      <c r="O576" s="49"/>
    </row>
    <row r="577" spans="15:15" x14ac:dyDescent="0.3">
      <c r="O577" s="49"/>
    </row>
    <row r="578" spans="15:15" x14ac:dyDescent="0.3">
      <c r="O578" s="49"/>
    </row>
    <row r="579" spans="15:15" x14ac:dyDescent="0.3">
      <c r="O579" s="49"/>
    </row>
    <row r="580" spans="15:15" x14ac:dyDescent="0.3">
      <c r="O580" s="49"/>
    </row>
    <row r="581" spans="15:15" x14ac:dyDescent="0.3">
      <c r="O581" s="49"/>
    </row>
    <row r="582" spans="15:15" x14ac:dyDescent="0.3">
      <c r="O582" s="49"/>
    </row>
    <row r="583" spans="15:15" x14ac:dyDescent="0.3">
      <c r="O583" s="49"/>
    </row>
    <row r="584" spans="15:15" x14ac:dyDescent="0.3">
      <c r="O584" s="49"/>
    </row>
    <row r="585" spans="15:15" x14ac:dyDescent="0.3">
      <c r="O585" s="49"/>
    </row>
    <row r="586" spans="15:15" x14ac:dyDescent="0.3">
      <c r="O586" s="49"/>
    </row>
    <row r="587" spans="15:15" x14ac:dyDescent="0.3">
      <c r="O587" s="49"/>
    </row>
    <row r="588" spans="15:15" x14ac:dyDescent="0.3">
      <c r="O588" s="49"/>
    </row>
    <row r="589" spans="15:15" x14ac:dyDescent="0.3">
      <c r="O589" s="49"/>
    </row>
    <row r="590" spans="15:15" x14ac:dyDescent="0.3">
      <c r="O590" s="49"/>
    </row>
    <row r="591" spans="15:15" x14ac:dyDescent="0.3">
      <c r="O591" s="49"/>
    </row>
    <row r="592" spans="15:15" x14ac:dyDescent="0.3">
      <c r="O592" s="49"/>
    </row>
    <row r="593" spans="15:15" x14ac:dyDescent="0.3">
      <c r="O593" s="49"/>
    </row>
    <row r="594" spans="15:15" x14ac:dyDescent="0.3">
      <c r="O594" s="49"/>
    </row>
    <row r="595" spans="15:15" x14ac:dyDescent="0.3">
      <c r="O595" s="49"/>
    </row>
    <row r="596" spans="15:15" x14ac:dyDescent="0.3">
      <c r="O596" s="49"/>
    </row>
    <row r="597" spans="15:15" x14ac:dyDescent="0.3">
      <c r="O597" s="49"/>
    </row>
    <row r="598" spans="15:15" x14ac:dyDescent="0.3">
      <c r="O598" s="49"/>
    </row>
    <row r="599" spans="15:15" x14ac:dyDescent="0.3">
      <c r="O599" s="49"/>
    </row>
    <row r="600" spans="15:15" x14ac:dyDescent="0.3">
      <c r="O600" s="49"/>
    </row>
    <row r="601" spans="15:15" x14ac:dyDescent="0.3">
      <c r="O601" s="49"/>
    </row>
    <row r="602" spans="15:15" x14ac:dyDescent="0.3">
      <c r="O602" s="49"/>
    </row>
    <row r="603" spans="15:15" x14ac:dyDescent="0.3">
      <c r="O603" s="49"/>
    </row>
    <row r="604" spans="15:15" x14ac:dyDescent="0.3">
      <c r="O604" s="49"/>
    </row>
    <row r="605" spans="15:15" x14ac:dyDescent="0.3">
      <c r="O605" s="49"/>
    </row>
    <row r="606" spans="15:15" x14ac:dyDescent="0.3">
      <c r="O606" s="49"/>
    </row>
    <row r="607" spans="15:15" x14ac:dyDescent="0.3">
      <c r="O607" s="49"/>
    </row>
    <row r="608" spans="15:15" x14ac:dyDescent="0.3">
      <c r="O608" s="49"/>
    </row>
    <row r="609" spans="15:15" x14ac:dyDescent="0.3">
      <c r="O609" s="49"/>
    </row>
    <row r="610" spans="15:15" x14ac:dyDescent="0.3">
      <c r="O610" s="49"/>
    </row>
    <row r="611" spans="15:15" x14ac:dyDescent="0.3">
      <c r="O611" s="49"/>
    </row>
    <row r="612" spans="15:15" x14ac:dyDescent="0.3">
      <c r="O612" s="49"/>
    </row>
    <row r="613" spans="15:15" x14ac:dyDescent="0.3">
      <c r="O613" s="49"/>
    </row>
    <row r="614" spans="15:15" x14ac:dyDescent="0.3">
      <c r="O614" s="49"/>
    </row>
    <row r="615" spans="15:15" x14ac:dyDescent="0.3">
      <c r="O615" s="49"/>
    </row>
    <row r="616" spans="15:15" x14ac:dyDescent="0.3">
      <c r="O616" s="49"/>
    </row>
    <row r="617" spans="15:15" x14ac:dyDescent="0.3">
      <c r="O617" s="49"/>
    </row>
    <row r="618" spans="15:15" x14ac:dyDescent="0.3">
      <c r="O618" s="49"/>
    </row>
    <row r="619" spans="15:15" x14ac:dyDescent="0.3">
      <c r="O619" s="49"/>
    </row>
    <row r="620" spans="15:15" x14ac:dyDescent="0.3">
      <c r="O620" s="49"/>
    </row>
    <row r="621" spans="15:15" x14ac:dyDescent="0.3">
      <c r="O621" s="49"/>
    </row>
    <row r="622" spans="15:15" x14ac:dyDescent="0.3">
      <c r="O622" s="49"/>
    </row>
    <row r="623" spans="15:15" x14ac:dyDescent="0.3">
      <c r="O623" s="49"/>
    </row>
    <row r="624" spans="15:15" x14ac:dyDescent="0.3">
      <c r="O624" s="49"/>
    </row>
    <row r="625" spans="15:15" x14ac:dyDescent="0.3">
      <c r="O625" s="49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D423-F719-4694-AA94-DB1212AD9064}">
  <dimension ref="A1:V104"/>
  <sheetViews>
    <sheetView topLeftCell="N1" zoomScale="110" zoomScaleNormal="110" workbookViewId="0">
      <selection activeCell="R9" sqref="R9:V9"/>
    </sheetView>
  </sheetViews>
  <sheetFormatPr defaultRowHeight="14.4" x14ac:dyDescent="0.3"/>
  <cols>
    <col min="3" max="3" width="10.33203125" customWidth="1"/>
    <col min="4" max="4" width="16.33203125" customWidth="1"/>
    <col min="5" max="5" width="16.21875" customWidth="1"/>
    <col min="17" max="17" width="16" customWidth="1"/>
  </cols>
  <sheetData>
    <row r="1" spans="1:22" x14ac:dyDescent="0.3">
      <c r="L1" s="24"/>
      <c r="M1" s="11"/>
    </row>
    <row r="2" spans="1:22" x14ac:dyDescent="0.3">
      <c r="B2" s="1" t="s">
        <v>156</v>
      </c>
      <c r="C2" s="1"/>
      <c r="D2" s="1"/>
      <c r="F2" s="1" t="s">
        <v>52</v>
      </c>
      <c r="L2" s="24"/>
      <c r="M2" s="11"/>
      <c r="P2" s="1" t="s">
        <v>53</v>
      </c>
    </row>
    <row r="3" spans="1:22" x14ac:dyDescent="0.3">
      <c r="A3" t="s">
        <v>160</v>
      </c>
      <c r="L3" s="24"/>
      <c r="M3" s="11"/>
    </row>
    <row r="4" spans="1:22" x14ac:dyDescent="0.3">
      <c r="A4">
        <v>100000</v>
      </c>
      <c r="B4" t="s">
        <v>21</v>
      </c>
      <c r="L4" s="24"/>
      <c r="M4" s="11"/>
      <c r="N4" s="6"/>
      <c r="O4" s="8" t="s">
        <v>170</v>
      </c>
      <c r="P4" s="7"/>
      <c r="Q4" s="7"/>
      <c r="R4" s="7"/>
      <c r="S4" s="7"/>
      <c r="T4" s="7"/>
      <c r="U4" s="7"/>
      <c r="V4" s="19"/>
    </row>
    <row r="5" spans="1:22" x14ac:dyDescent="0.3">
      <c r="A5">
        <v>40</v>
      </c>
      <c r="D5" s="1" t="s">
        <v>158</v>
      </c>
      <c r="L5" s="24"/>
      <c r="M5" s="11"/>
      <c r="N5" s="13"/>
      <c r="O5" s="11"/>
      <c r="P5" s="11" t="s">
        <v>5</v>
      </c>
      <c r="Q5" s="11"/>
      <c r="R5" s="11">
        <v>1.07517440445725</v>
      </c>
      <c r="S5" s="11"/>
      <c r="T5" s="11">
        <v>0.33600000000000002</v>
      </c>
      <c r="U5" s="11"/>
      <c r="V5" s="12">
        <v>3.3330406538174748E-2</v>
      </c>
    </row>
    <row r="6" spans="1:22" x14ac:dyDescent="0.3">
      <c r="A6">
        <f>A4/A5</f>
        <v>2500</v>
      </c>
      <c r="B6" t="s">
        <v>150</v>
      </c>
      <c r="L6" s="24"/>
      <c r="M6" s="11"/>
      <c r="N6" s="13" t="s">
        <v>22</v>
      </c>
      <c r="O6" s="11"/>
      <c r="P6" s="11"/>
      <c r="Q6" s="11"/>
      <c r="R6" s="11" t="s">
        <v>12</v>
      </c>
      <c r="S6" s="11"/>
      <c r="T6" s="11" t="s">
        <v>13</v>
      </c>
      <c r="U6" s="11"/>
      <c r="V6" s="12" t="s">
        <v>14</v>
      </c>
    </row>
    <row r="7" spans="1:22" x14ac:dyDescent="0.3">
      <c r="F7">
        <v>3.2203561899927843E-3</v>
      </c>
      <c r="H7">
        <v>1.5231414412128033E-3</v>
      </c>
      <c r="J7">
        <v>2.3064713252651022E-4</v>
      </c>
      <c r="L7" s="24"/>
      <c r="M7" s="11"/>
      <c r="N7" s="13">
        <v>10</v>
      </c>
      <c r="O7" s="11" t="s">
        <v>23</v>
      </c>
      <c r="P7" s="11"/>
      <c r="Q7" s="14" t="s">
        <v>30</v>
      </c>
      <c r="R7" s="14">
        <v>2166.4764249813588</v>
      </c>
      <c r="S7" s="14"/>
      <c r="T7" s="14">
        <v>677.04000000000008</v>
      </c>
      <c r="U7" s="14"/>
      <c r="V7" s="15">
        <v>67.160769174422114</v>
      </c>
    </row>
    <row r="8" spans="1:22" x14ac:dyDescent="0.3">
      <c r="F8" t="s">
        <v>0</v>
      </c>
      <c r="H8" t="s">
        <v>1</v>
      </c>
      <c r="J8" t="s">
        <v>2</v>
      </c>
      <c r="L8" s="24"/>
      <c r="M8" s="11"/>
      <c r="N8" s="13"/>
      <c r="O8" s="11"/>
      <c r="P8" s="11"/>
      <c r="Q8" s="11"/>
      <c r="R8" s="11"/>
      <c r="S8" s="11"/>
      <c r="T8" s="11"/>
      <c r="U8" s="11"/>
      <c r="V8" s="12"/>
    </row>
    <row r="9" spans="1:22" x14ac:dyDescent="0.3">
      <c r="A9" t="s">
        <v>20</v>
      </c>
      <c r="E9" s="3" t="s">
        <v>177</v>
      </c>
      <c r="F9" s="53">
        <f>A4*F7</f>
        <v>322.03561899927843</v>
      </c>
      <c r="G9" s="53"/>
      <c r="H9" s="53">
        <f>H7*A4</f>
        <v>152.31414412128032</v>
      </c>
      <c r="I9" s="53"/>
      <c r="J9" s="53">
        <f>J7*A4</f>
        <v>23.064713252651021</v>
      </c>
      <c r="L9" s="24"/>
      <c r="M9" s="11"/>
      <c r="N9" s="13" t="s">
        <v>24</v>
      </c>
      <c r="O9" s="11"/>
      <c r="P9" s="63">
        <v>0.3</v>
      </c>
      <c r="Q9" s="63" t="s">
        <v>178</v>
      </c>
      <c r="R9" s="63">
        <v>649.94292749440763</v>
      </c>
      <c r="S9" s="63"/>
      <c r="T9" s="63">
        <v>203.11200000000002</v>
      </c>
      <c r="U9" s="63"/>
      <c r="V9" s="64">
        <v>20.148230752326633</v>
      </c>
    </row>
    <row r="10" spans="1:22" x14ac:dyDescent="0.3">
      <c r="L10" s="24"/>
      <c r="M10" s="11"/>
      <c r="N10" s="16">
        <v>2015</v>
      </c>
      <c r="O10" s="17"/>
      <c r="P10" s="17"/>
      <c r="Q10" s="17"/>
      <c r="R10" s="17"/>
      <c r="S10" s="17"/>
      <c r="T10" s="17"/>
      <c r="U10" s="17"/>
      <c r="V10" s="18"/>
    </row>
    <row r="11" spans="1:22" x14ac:dyDescent="0.3">
      <c r="A11" t="s">
        <v>65</v>
      </c>
      <c r="B11">
        <v>15</v>
      </c>
      <c r="C11" t="s">
        <v>21</v>
      </c>
      <c r="D11" s="1" t="s">
        <v>159</v>
      </c>
      <c r="L11" s="24"/>
      <c r="M11" s="11"/>
    </row>
    <row r="12" spans="1:22" x14ac:dyDescent="0.3">
      <c r="A12" t="s">
        <v>136</v>
      </c>
      <c r="B12">
        <v>40</v>
      </c>
      <c r="C12" t="s">
        <v>21</v>
      </c>
      <c r="F12">
        <v>3.2203561899927843E-3</v>
      </c>
      <c r="H12">
        <v>1.5231414412128033E-3</v>
      </c>
      <c r="J12">
        <v>2.3064713252651022E-4</v>
      </c>
      <c r="L12" s="24"/>
      <c r="M12" s="11"/>
    </row>
    <row r="13" spans="1:22" x14ac:dyDescent="0.3">
      <c r="B13">
        <f>SUM(B11:B12)</f>
        <v>55</v>
      </c>
      <c r="F13" t="s">
        <v>0</v>
      </c>
      <c r="H13" t="s">
        <v>1</v>
      </c>
      <c r="J13" t="s">
        <v>2</v>
      </c>
      <c r="L13" s="24"/>
      <c r="M13" s="11"/>
    </row>
    <row r="14" spans="1:22" x14ac:dyDescent="0.3">
      <c r="E14" s="3" t="s">
        <v>177</v>
      </c>
      <c r="F14" s="53">
        <v>322.03561899927843</v>
      </c>
      <c r="G14" s="53"/>
      <c r="H14" s="53">
        <v>152.31414412128032</v>
      </c>
      <c r="I14" s="53"/>
      <c r="J14" s="53">
        <v>23.064713252651021</v>
      </c>
      <c r="L14" s="24"/>
      <c r="M14" s="11"/>
    </row>
    <row r="15" spans="1:22" x14ac:dyDescent="0.3">
      <c r="F15" s="1"/>
      <c r="G15" s="1"/>
      <c r="H15" s="1"/>
      <c r="I15" s="1"/>
      <c r="J15" s="1"/>
      <c r="L15" s="24"/>
      <c r="M15" s="11"/>
    </row>
    <row r="16" spans="1:22" ht="13.8" customHeight="1" x14ac:dyDescent="0.3">
      <c r="L16" s="24"/>
      <c r="M16" s="11"/>
    </row>
    <row r="17" spans="1:13" x14ac:dyDescent="0.3">
      <c r="D17" s="1" t="s">
        <v>163</v>
      </c>
      <c r="L17" s="24"/>
      <c r="M17" s="11"/>
    </row>
    <row r="18" spans="1:13" x14ac:dyDescent="0.3">
      <c r="F18">
        <v>3.2203561899927843E-3</v>
      </c>
      <c r="H18">
        <v>1.5231414412128033E-3</v>
      </c>
      <c r="J18">
        <v>2.3064713252651022E-4</v>
      </c>
      <c r="L18" s="24"/>
      <c r="M18" s="11"/>
    </row>
    <row r="19" spans="1:13" x14ac:dyDescent="0.3">
      <c r="F19" t="s">
        <v>0</v>
      </c>
      <c r="H19" t="s">
        <v>1</v>
      </c>
      <c r="J19" t="s">
        <v>2</v>
      </c>
      <c r="L19" s="24"/>
      <c r="M19" s="11"/>
    </row>
    <row r="20" spans="1:13" x14ac:dyDescent="0.3">
      <c r="E20" s="3" t="s">
        <v>177</v>
      </c>
      <c r="F20" s="53">
        <v>322.03561899927843</v>
      </c>
      <c r="G20" s="53"/>
      <c r="H20" s="53">
        <v>152.31414412128032</v>
      </c>
      <c r="I20" s="53"/>
      <c r="J20" s="53">
        <v>23.064713252651021</v>
      </c>
      <c r="L20" s="24"/>
      <c r="M20" s="11"/>
    </row>
    <row r="21" spans="1:13" x14ac:dyDescent="0.3">
      <c r="L21" s="24"/>
      <c r="M21" s="11"/>
    </row>
    <row r="22" spans="1:13" x14ac:dyDescent="0.3">
      <c r="L22" s="24"/>
      <c r="M22" s="11"/>
    </row>
    <row r="23" spans="1:13" x14ac:dyDescent="0.3">
      <c r="A23" t="s">
        <v>161</v>
      </c>
      <c r="F23">
        <v>2.4324505845542537</v>
      </c>
      <c r="H23">
        <v>0.59472456526158235</v>
      </c>
      <c r="J23">
        <v>0.22242698740783179</v>
      </c>
      <c r="L23" s="24"/>
      <c r="M23" s="11"/>
    </row>
    <row r="24" spans="1:13" x14ac:dyDescent="0.3">
      <c r="A24" t="s">
        <v>73</v>
      </c>
      <c r="F24" t="s">
        <v>0</v>
      </c>
      <c r="H24" t="s">
        <v>1</v>
      </c>
      <c r="J24" t="s">
        <v>2</v>
      </c>
      <c r="L24" s="24"/>
      <c r="M24" s="11"/>
    </row>
    <row r="25" spans="1:13" x14ac:dyDescent="0.3">
      <c r="A25">
        <v>11.5</v>
      </c>
      <c r="B25" t="s">
        <v>28</v>
      </c>
      <c r="F25" s="1">
        <f>A6*A27*F23</f>
        <v>82095.207228706058</v>
      </c>
      <c r="G25" s="1"/>
      <c r="H25" s="1">
        <f>A6*A27*H23</f>
        <v>20071.954077578404</v>
      </c>
      <c r="I25" s="1"/>
      <c r="J25" s="1">
        <f>A6*A27*J23</f>
        <v>7506.9108250143227</v>
      </c>
      <c r="L25" s="24"/>
      <c r="M25" s="11"/>
    </row>
    <row r="26" spans="1:13" x14ac:dyDescent="0.3">
      <c r="A26">
        <v>2</v>
      </c>
      <c r="B26" t="s">
        <v>28</v>
      </c>
      <c r="L26" s="24"/>
      <c r="M26" s="11"/>
    </row>
    <row r="27" spans="1:13" x14ac:dyDescent="0.3">
      <c r="A27">
        <f>SUM(A25:A26)</f>
        <v>13.5</v>
      </c>
      <c r="B27" t="s">
        <v>28</v>
      </c>
      <c r="L27" s="24"/>
      <c r="M27" s="11"/>
    </row>
    <row r="28" spans="1:13" x14ac:dyDescent="0.3">
      <c r="D28" s="1" t="s">
        <v>148</v>
      </c>
      <c r="F28">
        <v>1.355569792942968</v>
      </c>
      <c r="H28">
        <v>0.33143146294890685</v>
      </c>
      <c r="J28">
        <v>0.12395536714289117</v>
      </c>
      <c r="L28" s="24"/>
      <c r="M28" s="11"/>
    </row>
    <row r="29" spans="1:13" x14ac:dyDescent="0.3">
      <c r="F29" t="s">
        <v>0</v>
      </c>
      <c r="H29" t="s">
        <v>1</v>
      </c>
      <c r="J29" t="s">
        <v>2</v>
      </c>
      <c r="L29" s="24"/>
      <c r="M29" s="11"/>
    </row>
    <row r="30" spans="1:13" x14ac:dyDescent="0.3">
      <c r="A30" t="s">
        <v>157</v>
      </c>
      <c r="B30">
        <v>26.4</v>
      </c>
      <c r="C30" t="s">
        <v>21</v>
      </c>
      <c r="F30" s="1">
        <f>A6*A27*F28</f>
        <v>45750.480511825168</v>
      </c>
      <c r="G30" s="1"/>
      <c r="H30" s="1">
        <f>A6*A27*H28</f>
        <v>11185.811874525607</v>
      </c>
      <c r="I30" s="1"/>
      <c r="J30" s="1">
        <f>A6*A27*J28</f>
        <v>4183.4936410725768</v>
      </c>
      <c r="L30" s="24"/>
      <c r="M30" s="11"/>
    </row>
    <row r="31" spans="1:13" x14ac:dyDescent="0.3">
      <c r="L31" s="24"/>
      <c r="M31" s="11"/>
    </row>
    <row r="32" spans="1:13" x14ac:dyDescent="0.3">
      <c r="D32" t="s">
        <v>162</v>
      </c>
      <c r="F32" s="1">
        <f>F25+F30</f>
        <v>127845.68774053123</v>
      </c>
      <c r="G32" s="1"/>
      <c r="H32" s="1">
        <f>H25+H30</f>
        <v>31257.765952104011</v>
      </c>
      <c r="I32" s="1"/>
      <c r="J32" s="1">
        <f>J25+J30</f>
        <v>11690.4044660869</v>
      </c>
      <c r="L32" s="24"/>
      <c r="M32" s="11"/>
    </row>
    <row r="33" spans="1:13" x14ac:dyDescent="0.3">
      <c r="L33" s="24"/>
      <c r="M33" s="11"/>
    </row>
    <row r="34" spans="1:13" x14ac:dyDescent="0.3">
      <c r="D34" s="3">
        <v>0.16</v>
      </c>
      <c r="E34" s="3" t="s">
        <v>177</v>
      </c>
      <c r="F34" s="3">
        <f>F32*D34</f>
        <v>20455.310038484997</v>
      </c>
      <c r="G34" s="3"/>
      <c r="H34" s="3">
        <f>H32*D34</f>
        <v>5001.2425523366419</v>
      </c>
      <c r="I34" s="3"/>
      <c r="J34" s="3">
        <f>J32*D34</f>
        <v>1870.4647145739041</v>
      </c>
      <c r="L34" s="24"/>
      <c r="M34" s="11"/>
    </row>
    <row r="35" spans="1:13" x14ac:dyDescent="0.3">
      <c r="L35" s="24"/>
      <c r="M35" s="11"/>
    </row>
    <row r="36" spans="1:13" x14ac:dyDescent="0.3">
      <c r="L36" s="24"/>
      <c r="M36" s="11"/>
    </row>
    <row r="37" spans="1:13" x14ac:dyDescent="0.3">
      <c r="A37" t="s">
        <v>164</v>
      </c>
      <c r="D37" s="1" t="s">
        <v>174</v>
      </c>
      <c r="F37">
        <v>2.4324505845542537</v>
      </c>
      <c r="H37">
        <v>0.59472456526158235</v>
      </c>
      <c r="J37">
        <v>0.22242698740783179</v>
      </c>
      <c r="L37" s="24"/>
      <c r="M37" s="11"/>
    </row>
    <row r="38" spans="1:13" x14ac:dyDescent="0.3">
      <c r="A38" t="s">
        <v>73</v>
      </c>
      <c r="F38" t="s">
        <v>0</v>
      </c>
      <c r="H38" t="s">
        <v>1</v>
      </c>
      <c r="J38" t="s">
        <v>2</v>
      </c>
      <c r="L38" s="24"/>
      <c r="M38" s="11"/>
    </row>
    <row r="39" spans="1:13" x14ac:dyDescent="0.3">
      <c r="A39">
        <v>1</v>
      </c>
      <c r="B39" t="s">
        <v>28</v>
      </c>
      <c r="F39" s="1">
        <f>A41*F37</f>
        <v>6081.1264613856338</v>
      </c>
      <c r="G39" s="1"/>
      <c r="H39" s="1">
        <f>A41*H37</f>
        <v>1486.811413153956</v>
      </c>
      <c r="I39" s="1"/>
      <c r="J39" s="1">
        <f>A41*J37</f>
        <v>556.06746851957951</v>
      </c>
      <c r="L39" s="24"/>
      <c r="M39" s="11"/>
    </row>
    <row r="40" spans="1:13" x14ac:dyDescent="0.3">
      <c r="F40" s="1"/>
      <c r="G40" s="1"/>
      <c r="H40" s="1"/>
      <c r="I40" s="1"/>
      <c r="J40" s="1"/>
      <c r="L40" s="24"/>
      <c r="M40" s="11"/>
    </row>
    <row r="41" spans="1:13" x14ac:dyDescent="0.3">
      <c r="A41">
        <v>2500</v>
      </c>
      <c r="B41" t="s">
        <v>150</v>
      </c>
      <c r="L41" s="24"/>
      <c r="M41" s="11"/>
    </row>
    <row r="42" spans="1:13" x14ac:dyDescent="0.3">
      <c r="D42" s="1" t="s">
        <v>148</v>
      </c>
      <c r="F42">
        <v>1.355569792942968</v>
      </c>
      <c r="H42">
        <v>0.33143146294890685</v>
      </c>
      <c r="J42">
        <v>0.12395536714289117</v>
      </c>
      <c r="L42" s="24"/>
      <c r="M42" s="11"/>
    </row>
    <row r="43" spans="1:13" x14ac:dyDescent="0.3">
      <c r="F43" t="s">
        <v>0</v>
      </c>
      <c r="H43" t="s">
        <v>1</v>
      </c>
      <c r="J43" t="s">
        <v>2</v>
      </c>
      <c r="L43" s="24"/>
      <c r="M43" s="11"/>
    </row>
    <row r="44" spans="1:13" x14ac:dyDescent="0.3">
      <c r="F44" s="1">
        <f>A41*F42</f>
        <v>3388.9244823574199</v>
      </c>
      <c r="G44" s="1"/>
      <c r="H44" s="1">
        <f>A41*H42</f>
        <v>828.57865737226712</v>
      </c>
      <c r="I44" s="1"/>
      <c r="J44" s="1">
        <f>J42*A41</f>
        <v>309.88841785722792</v>
      </c>
      <c r="L44" s="24"/>
      <c r="M44" s="11"/>
    </row>
    <row r="45" spans="1:13" x14ac:dyDescent="0.3">
      <c r="L45" s="24"/>
      <c r="M45" s="11"/>
    </row>
    <row r="46" spans="1:13" x14ac:dyDescent="0.3">
      <c r="D46" s="1" t="s">
        <v>162</v>
      </c>
      <c r="F46">
        <f>F39+F44</f>
        <v>9470.0509437430537</v>
      </c>
      <c r="H46">
        <f>H39+H44</f>
        <v>2315.3900705262231</v>
      </c>
      <c r="J46">
        <f>J39+J44</f>
        <v>865.95588637680748</v>
      </c>
      <c r="L46" s="24"/>
      <c r="M46" s="11"/>
    </row>
    <row r="47" spans="1:13" x14ac:dyDescent="0.3">
      <c r="L47" s="24"/>
      <c r="M47" s="11"/>
    </row>
    <row r="48" spans="1:13" x14ac:dyDescent="0.3">
      <c r="D48" s="65">
        <v>0.57999999999999996</v>
      </c>
      <c r="E48" s="65" t="s">
        <v>178</v>
      </c>
      <c r="F48" s="65">
        <f>F46*D48</f>
        <v>5492.6295473709706</v>
      </c>
      <c r="G48" s="65"/>
      <c r="H48" s="65">
        <f>H46*D48</f>
        <v>1342.9262409052094</v>
      </c>
      <c r="I48" s="65"/>
      <c r="J48" s="65">
        <f>J46*D48</f>
        <v>502.2544140985483</v>
      </c>
      <c r="L48" s="24"/>
      <c r="M48" s="11"/>
    </row>
    <row r="49" spans="1:13" x14ac:dyDescent="0.3">
      <c r="L49" s="24"/>
      <c r="M49" s="11"/>
    </row>
    <row r="50" spans="1:13" x14ac:dyDescent="0.3">
      <c r="L50" s="24"/>
      <c r="M50" s="11"/>
    </row>
    <row r="51" spans="1:13" x14ac:dyDescent="0.3">
      <c r="D51" s="1" t="s">
        <v>165</v>
      </c>
      <c r="L51" s="24"/>
      <c r="M51" s="11"/>
    </row>
    <row r="52" spans="1:13" x14ac:dyDescent="0.3">
      <c r="F52">
        <v>3.2203561899927843E-3</v>
      </c>
      <c r="H52">
        <v>1.5231414412128033E-3</v>
      </c>
      <c r="J52">
        <v>2.3064713252651022E-4</v>
      </c>
      <c r="L52" s="24"/>
      <c r="M52" s="11"/>
    </row>
    <row r="53" spans="1:13" x14ac:dyDescent="0.3">
      <c r="F53" t="s">
        <v>0</v>
      </c>
      <c r="H53" t="s">
        <v>1</v>
      </c>
      <c r="J53" t="s">
        <v>2</v>
      </c>
      <c r="L53" s="24"/>
      <c r="M53" s="11"/>
    </row>
    <row r="54" spans="1:13" x14ac:dyDescent="0.3">
      <c r="F54">
        <v>322.03561899927843</v>
      </c>
      <c r="H54">
        <v>152.31414412128032</v>
      </c>
      <c r="J54">
        <v>23.064713252651021</v>
      </c>
      <c r="L54" s="24"/>
      <c r="M54" s="11"/>
    </row>
    <row r="55" spans="1:13" x14ac:dyDescent="0.3">
      <c r="L55" s="24"/>
      <c r="M55" s="11"/>
    </row>
    <row r="56" spans="1:13" x14ac:dyDescent="0.3">
      <c r="D56" s="2" t="s">
        <v>178</v>
      </c>
      <c r="E56" s="65">
        <v>0.3</v>
      </c>
      <c r="F56" s="65">
        <f>F54*E56</f>
        <v>96.610685699783531</v>
      </c>
      <c r="G56" s="65"/>
      <c r="H56" s="65">
        <f>H54*E56</f>
        <v>45.694243236384096</v>
      </c>
      <c r="I56" s="65"/>
      <c r="J56" s="65">
        <f>J54*E56</f>
        <v>6.9194139757953064</v>
      </c>
      <c r="L56" s="24"/>
      <c r="M56" s="11"/>
    </row>
    <row r="57" spans="1:13" x14ac:dyDescent="0.3">
      <c r="L57" s="24"/>
      <c r="M57" s="11"/>
    </row>
    <row r="58" spans="1:13" x14ac:dyDescent="0.3">
      <c r="A58" t="s">
        <v>157</v>
      </c>
      <c r="B58">
        <v>26.4</v>
      </c>
      <c r="C58" t="s">
        <v>21</v>
      </c>
      <c r="L58" s="24"/>
      <c r="M58" s="11"/>
    </row>
    <row r="59" spans="1:13" x14ac:dyDescent="0.3">
      <c r="A59" t="s">
        <v>166</v>
      </c>
      <c r="D59" s="1" t="s">
        <v>170</v>
      </c>
      <c r="J59">
        <v>3.1E-2</v>
      </c>
      <c r="L59" s="24"/>
      <c r="M59" s="11"/>
    </row>
    <row r="60" spans="1:13" x14ac:dyDescent="0.3">
      <c r="A60" t="s">
        <v>167</v>
      </c>
      <c r="F60">
        <v>1.07517440445725</v>
      </c>
      <c r="H60">
        <v>0.33600000000000002</v>
      </c>
      <c r="J60">
        <f>F60*J59</f>
        <v>3.3330406538174748E-2</v>
      </c>
      <c r="L60" s="24"/>
      <c r="M60" s="11"/>
    </row>
    <row r="61" spans="1:13" x14ac:dyDescent="0.3">
      <c r="A61">
        <v>2015</v>
      </c>
      <c r="B61" t="s">
        <v>25</v>
      </c>
      <c r="F61" t="s">
        <v>0</v>
      </c>
      <c r="H61" t="s">
        <v>1</v>
      </c>
      <c r="J61" t="s">
        <v>2</v>
      </c>
      <c r="L61" s="24"/>
      <c r="M61" s="11"/>
    </row>
    <row r="62" spans="1:13" x14ac:dyDescent="0.3">
      <c r="E62" t="s">
        <v>30</v>
      </c>
      <c r="F62" s="1">
        <f>A61*F60</f>
        <v>2166.4764249813588</v>
      </c>
      <c r="G62" s="1"/>
      <c r="H62" s="1">
        <f>A61*H60</f>
        <v>677.04000000000008</v>
      </c>
      <c r="I62" s="1"/>
      <c r="J62" s="1">
        <f>J60*A61</f>
        <v>67.160769174422114</v>
      </c>
      <c r="L62" s="24"/>
      <c r="M62" s="11"/>
    </row>
    <row r="63" spans="1:13" x14ac:dyDescent="0.3">
      <c r="A63" t="s">
        <v>168</v>
      </c>
      <c r="F63" s="1"/>
      <c r="G63" s="1"/>
      <c r="H63" s="1"/>
      <c r="I63" s="1"/>
      <c r="J63" s="1"/>
      <c r="L63" s="24"/>
      <c r="M63" s="11"/>
    </row>
    <row r="64" spans="1:13" x14ac:dyDescent="0.3">
      <c r="A64">
        <v>10</v>
      </c>
      <c r="B64" t="s">
        <v>23</v>
      </c>
      <c r="D64" s="65">
        <v>0.3</v>
      </c>
      <c r="E64" s="65" t="s">
        <v>178</v>
      </c>
      <c r="F64" s="65">
        <f>D64*F62</f>
        <v>649.94292749440763</v>
      </c>
      <c r="G64" s="65"/>
      <c r="H64" s="65">
        <f>H62*D64</f>
        <v>203.11200000000002</v>
      </c>
      <c r="I64" s="65"/>
      <c r="J64" s="65">
        <f>J62*D64</f>
        <v>20.148230752326633</v>
      </c>
      <c r="L64" s="24"/>
      <c r="M64" s="11"/>
    </row>
    <row r="65" spans="1:13" x14ac:dyDescent="0.3">
      <c r="L65" s="24"/>
      <c r="M65" s="11"/>
    </row>
    <row r="66" spans="1:13" x14ac:dyDescent="0.3">
      <c r="A66" t="s">
        <v>169</v>
      </c>
      <c r="D66" s="1" t="s">
        <v>157</v>
      </c>
      <c r="L66" s="24"/>
      <c r="M66" s="11"/>
    </row>
    <row r="67" spans="1:13" x14ac:dyDescent="0.3">
      <c r="A67">
        <f>A61*A64</f>
        <v>20150</v>
      </c>
      <c r="B67" t="s">
        <v>28</v>
      </c>
      <c r="F67">
        <v>1.7482461605137156</v>
      </c>
      <c r="H67">
        <v>0.42743928463906683</v>
      </c>
      <c r="J67">
        <v>0.15986229245501099</v>
      </c>
      <c r="L67" s="24"/>
      <c r="M67" s="11"/>
    </row>
    <row r="68" spans="1:13" x14ac:dyDescent="0.3">
      <c r="F68" t="s">
        <v>0</v>
      </c>
      <c r="H68" t="s">
        <v>1</v>
      </c>
      <c r="J68" t="s">
        <v>2</v>
      </c>
      <c r="L68" s="24"/>
      <c r="M68" s="11"/>
    </row>
    <row r="69" spans="1:13" x14ac:dyDescent="0.3">
      <c r="E69" t="s">
        <v>30</v>
      </c>
      <c r="F69" s="1">
        <f>A67*F67</f>
        <v>35227.160134351368</v>
      </c>
      <c r="G69" s="1"/>
      <c r="H69" s="1">
        <f>H67*A67</f>
        <v>8612.9015854771969</v>
      </c>
      <c r="I69" s="1"/>
      <c r="J69" s="1">
        <f>J67*A67</f>
        <v>3221.2251929684717</v>
      </c>
      <c r="L69" s="24"/>
      <c r="M69" s="11"/>
    </row>
    <row r="70" spans="1:13" x14ac:dyDescent="0.3">
      <c r="L70" s="24"/>
      <c r="M70" s="11"/>
    </row>
    <row r="71" spans="1:13" x14ac:dyDescent="0.3">
      <c r="D71" s="65">
        <v>0.57999999999999996</v>
      </c>
      <c r="E71" s="65" t="s">
        <v>178</v>
      </c>
      <c r="F71" s="65">
        <f>F69*D71</f>
        <v>20431.752877923791</v>
      </c>
      <c r="G71" s="65"/>
      <c r="H71" s="65">
        <f>H69*D71</f>
        <v>4995.4829195767743</v>
      </c>
      <c r="I71" s="65"/>
      <c r="J71" s="65">
        <f>J69*D71</f>
        <v>1868.3106119217134</v>
      </c>
      <c r="L71" s="24"/>
      <c r="M71" s="11"/>
    </row>
    <row r="72" spans="1:13" x14ac:dyDescent="0.3">
      <c r="L72" s="24"/>
      <c r="M72" s="11"/>
    </row>
    <row r="73" spans="1:13" x14ac:dyDescent="0.3">
      <c r="L73" s="24"/>
      <c r="M73" s="11"/>
    </row>
    <row r="74" spans="1:13" x14ac:dyDescent="0.3">
      <c r="D74" s="6" t="s">
        <v>171</v>
      </c>
      <c r="E74" s="7"/>
      <c r="F74" s="7"/>
      <c r="G74" s="7"/>
      <c r="H74" s="7"/>
      <c r="I74" s="7"/>
      <c r="J74" s="19"/>
      <c r="L74" s="24"/>
      <c r="M74" s="11"/>
    </row>
    <row r="75" spans="1:13" x14ac:dyDescent="0.3">
      <c r="D75" s="13"/>
      <c r="E75" s="11"/>
      <c r="F75" s="11"/>
      <c r="G75" s="11"/>
      <c r="H75" s="11"/>
      <c r="I75" s="11"/>
      <c r="J75" s="12"/>
      <c r="L75" s="24"/>
      <c r="M75" s="11"/>
    </row>
    <row r="76" spans="1:13" x14ac:dyDescent="0.3">
      <c r="D76" s="13"/>
      <c r="E76" s="11" t="s">
        <v>5</v>
      </c>
      <c r="F76" s="11" t="s">
        <v>12</v>
      </c>
      <c r="G76" s="11"/>
      <c r="H76" s="11" t="s">
        <v>13</v>
      </c>
      <c r="I76" s="11"/>
      <c r="J76" s="12" t="s">
        <v>14</v>
      </c>
      <c r="L76" s="24"/>
      <c r="M76" s="11"/>
    </row>
    <row r="77" spans="1:13" x14ac:dyDescent="0.3">
      <c r="D77" s="13"/>
      <c r="E77" s="14" t="s">
        <v>6</v>
      </c>
      <c r="F77" s="14">
        <f>F9+F14+F20+F32+F46+F54+F62+F69</f>
        <v>175997.5177196041</v>
      </c>
      <c r="G77" s="14"/>
      <c r="H77" s="14">
        <f>H9+H14+H20+H32+H46+H54+H62+H69</f>
        <v>43472.35418459255</v>
      </c>
      <c r="I77" s="14"/>
      <c r="J77" s="15">
        <f>J9+J14+J20+J32+J46+J54+J62+J69</f>
        <v>15937.005167617208</v>
      </c>
      <c r="L77" s="24"/>
      <c r="M77" s="11"/>
    </row>
    <row r="78" spans="1:13" x14ac:dyDescent="0.3">
      <c r="D78" s="13"/>
      <c r="E78" s="11"/>
      <c r="F78" s="11"/>
      <c r="G78" s="11"/>
      <c r="H78" s="11"/>
      <c r="I78" s="11"/>
      <c r="J78" s="12"/>
      <c r="L78" s="24"/>
      <c r="M78" s="11"/>
    </row>
    <row r="79" spans="1:13" x14ac:dyDescent="0.3">
      <c r="D79" s="16"/>
      <c r="E79" s="20" t="s">
        <v>175</v>
      </c>
      <c r="F79" s="20">
        <f>F9+F14+F20+F34+F48+F56+F64+F71</f>
        <v>48092.352933971786</v>
      </c>
      <c r="G79" s="20"/>
      <c r="H79" s="20">
        <f>H9+H14+H20+H34+H48+H56+H64+H71</f>
        <v>12045.400388418851</v>
      </c>
      <c r="I79" s="20"/>
      <c r="J79" s="21">
        <f>J9+J14+J20+J34+J48+J56+J64+J71</f>
        <v>4337.2915250802407</v>
      </c>
      <c r="L79" s="24"/>
      <c r="M79" s="11"/>
    </row>
    <row r="80" spans="1:13" x14ac:dyDescent="0.3">
      <c r="L80" s="24"/>
      <c r="M80" s="11"/>
    </row>
    <row r="81" spans="12:13" x14ac:dyDescent="0.3">
      <c r="L81" s="24"/>
      <c r="M81" s="11"/>
    </row>
    <row r="82" spans="12:13" x14ac:dyDescent="0.3">
      <c r="L82" s="24"/>
      <c r="M82" s="11"/>
    </row>
    <row r="83" spans="12:13" x14ac:dyDescent="0.3">
      <c r="L83" s="24"/>
      <c r="M83" s="11"/>
    </row>
    <row r="84" spans="12:13" x14ac:dyDescent="0.3">
      <c r="L84" s="24"/>
      <c r="M84" s="11"/>
    </row>
    <row r="85" spans="12:13" x14ac:dyDescent="0.3">
      <c r="L85" s="24"/>
      <c r="M85" s="11"/>
    </row>
    <row r="86" spans="12:13" x14ac:dyDescent="0.3">
      <c r="L86" s="24"/>
      <c r="M86" s="11"/>
    </row>
    <row r="87" spans="12:13" x14ac:dyDescent="0.3">
      <c r="L87" s="24"/>
      <c r="M87" s="11"/>
    </row>
    <row r="88" spans="12:13" x14ac:dyDescent="0.3">
      <c r="L88" s="24"/>
      <c r="M88" s="11"/>
    </row>
    <row r="89" spans="12:13" x14ac:dyDescent="0.3">
      <c r="L89" s="24"/>
      <c r="M89" s="11"/>
    </row>
    <row r="90" spans="12:13" x14ac:dyDescent="0.3">
      <c r="L90" s="24"/>
      <c r="M90" s="11"/>
    </row>
    <row r="91" spans="12:13" x14ac:dyDescent="0.3">
      <c r="L91" s="24"/>
      <c r="M91" s="11"/>
    </row>
    <row r="92" spans="12:13" x14ac:dyDescent="0.3">
      <c r="L92" s="24"/>
      <c r="M92" s="11"/>
    </row>
    <row r="93" spans="12:13" x14ac:dyDescent="0.3">
      <c r="L93" s="24"/>
      <c r="M93" s="11"/>
    </row>
    <row r="94" spans="12:13" x14ac:dyDescent="0.3">
      <c r="L94" s="24"/>
      <c r="M94" s="11"/>
    </row>
    <row r="95" spans="12:13" x14ac:dyDescent="0.3">
      <c r="L95" s="24"/>
      <c r="M95" s="11"/>
    </row>
    <row r="96" spans="12:13" x14ac:dyDescent="0.3">
      <c r="L96" s="24"/>
      <c r="M96" s="11"/>
    </row>
    <row r="97" spans="12:13" x14ac:dyDescent="0.3">
      <c r="L97" s="24"/>
      <c r="M97" s="11"/>
    </row>
    <row r="98" spans="12:13" x14ac:dyDescent="0.3">
      <c r="L98" s="24"/>
      <c r="M98" s="11"/>
    </row>
    <row r="99" spans="12:13" x14ac:dyDescent="0.3">
      <c r="L99" s="24"/>
      <c r="M99" s="11"/>
    </row>
    <row r="100" spans="12:13" x14ac:dyDescent="0.3">
      <c r="L100" s="24"/>
      <c r="M100" s="11"/>
    </row>
    <row r="101" spans="12:13" x14ac:dyDescent="0.3">
      <c r="L101" s="24"/>
      <c r="M101" s="11"/>
    </row>
    <row r="102" spans="12:13" x14ac:dyDescent="0.3">
      <c r="L102" s="24"/>
      <c r="M102" s="11"/>
    </row>
    <row r="103" spans="12:13" x14ac:dyDescent="0.3">
      <c r="L103" s="24"/>
      <c r="M103" s="11"/>
    </row>
    <row r="104" spans="12:13" x14ac:dyDescent="0.3">
      <c r="L104" s="24"/>
      <c r="M10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Drilling &amp; Blasting</vt:lpstr>
      <vt:lpstr>Bullozing in pit</vt:lpstr>
      <vt:lpstr>Loading in pit</vt:lpstr>
      <vt:lpstr>Operations in waste</vt:lpstr>
      <vt:lpstr>Unloading in crusher</vt:lpstr>
      <vt:lpstr>Haul Road factors calculator</vt:lpstr>
      <vt:lpstr>Haul Roads in mining area</vt:lpstr>
      <vt:lpstr>Haul Road harbor-mining area</vt:lpstr>
      <vt:lpstr>Maintenance of haul roads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Biibi-Tove Rehtmar</dc:creator>
  <cp:lastModifiedBy>Biibi-Tove Rehtmar</cp:lastModifiedBy>
  <dcterms:created xsi:type="dcterms:W3CDTF">2022-04-18T21:18:09Z</dcterms:created>
  <dcterms:modified xsi:type="dcterms:W3CDTF">2022-06-06T14:01:44Z</dcterms:modified>
</cp:coreProperties>
</file>